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umass-my.sharepoint.com/personal/hlacey_umass_edu/Documents/Documents/_LACEY HEATHER Files/HEIBO/HEIBO - October 2024 Presentation/"/>
    </mc:Choice>
  </mc:AlternateContent>
  <xr:revisionPtr revIDLastSave="133" documentId="8_{458FA8E3-7A7F-4654-864F-0BFF2F4FF064}" xr6:coauthVersionLast="47" xr6:coauthVersionMax="47" xr10:uidLastSave="{D5F62867-AA90-41B0-AEB2-D73710FD5D4D}"/>
  <bookViews>
    <workbookView xWindow="-120" yWindow="-120" windowWidth="38640" windowHeight="21120" activeTab="3" xr2:uid="{9EBDB6B7-D106-4B74-9421-1EDE4BD8C249}"/>
  </bookViews>
  <sheets>
    <sheet name="Instructions" sheetId="4" r:id="rId1"/>
    <sheet name="Lists and Calculators" sheetId="2" r:id="rId2"/>
    <sheet name="Annual Budget" sheetId="1" r:id="rId3"/>
    <sheet name="Reserve" sheetId="3" r:id="rId4"/>
  </sheets>
  <definedNames>
    <definedName name="_xlnm.Print_Area" localSheetId="1">'Lists and Calculators'!$A$1:$L$19</definedName>
    <definedName name="_xlnm.Print_Area" localSheetId="3">Reserve!$A$1:$N$47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 l="1"/>
  <c r="D17" i="3"/>
  <c r="I17" i="3" s="1"/>
  <c r="C18" i="3"/>
  <c r="H18" i="3" s="1"/>
  <c r="C17" i="3"/>
  <c r="H17" i="3" s="1"/>
  <c r="C16" i="3"/>
  <c r="H16" i="3" s="1"/>
  <c r="C15" i="3"/>
  <c r="H15" i="3" s="1"/>
  <c r="C14" i="3"/>
  <c r="H14" i="3" s="1"/>
  <c r="C13" i="3"/>
  <c r="H13" i="3" s="1"/>
  <c r="D9" i="3"/>
  <c r="I9" i="3" s="1"/>
  <c r="D8" i="3"/>
  <c r="I8" i="3" s="1"/>
  <c r="D7" i="3"/>
  <c r="I7" i="3" s="1"/>
  <c r="D6" i="3"/>
  <c r="I6" i="3" s="1"/>
  <c r="I10" i="3" l="1"/>
  <c r="D10" i="3"/>
  <c r="C9" i="3" l="1"/>
  <c r="H9" i="3" s="1"/>
  <c r="C8" i="3"/>
  <c r="H8" i="3" s="1"/>
  <c r="C7" i="3"/>
  <c r="H7" i="3" s="1"/>
  <c r="C6" i="3"/>
  <c r="H6" i="3" s="1"/>
  <c r="B8" i="1"/>
  <c r="D15" i="3"/>
  <c r="I15" i="3" s="1"/>
  <c r="D18" i="3"/>
  <c r="I18" i="3" s="1"/>
  <c r="D14" i="3"/>
  <c r="I14" i="3" s="1"/>
  <c r="D13" i="3"/>
  <c r="D16" i="3" l="1"/>
  <c r="I16" i="3" s="1"/>
  <c r="I13" i="3"/>
  <c r="F10" i="1"/>
  <c r="D19" i="3" l="1"/>
  <c r="D21" i="3" s="1"/>
  <c r="I19" i="3"/>
  <c r="I21" i="3" s="1"/>
  <c r="I30" i="3" l="1"/>
  <c r="I37" i="3" s="1"/>
</calcChain>
</file>

<file path=xl/sharedStrings.xml><?xml version="1.0" encoding="utf-8"?>
<sst xmlns="http://schemas.openxmlformats.org/spreadsheetml/2006/main" count="98" uniqueCount="56">
  <si>
    <t>Visa Processing Revenue</t>
  </si>
  <si>
    <t>Study Abroad Revenue</t>
  </si>
  <si>
    <t>Other Revenue</t>
  </si>
  <si>
    <t>Fixed Expenses</t>
  </si>
  <si>
    <t>Expenses Directly Related to Revenue</t>
  </si>
  <si>
    <t>Variable Expenses - Payroll</t>
  </si>
  <si>
    <t>Variable Expenses - Other</t>
  </si>
  <si>
    <t>Overhead</t>
  </si>
  <si>
    <t>Full Time Staff</t>
  </si>
  <si>
    <t>Threat_Level</t>
  </si>
  <si>
    <t>None</t>
  </si>
  <si>
    <t>Minor</t>
  </si>
  <si>
    <t>Moderate</t>
  </si>
  <si>
    <t>Elevated</t>
  </si>
  <si>
    <t>Critical</t>
  </si>
  <si>
    <t>Extreme</t>
  </si>
  <si>
    <t>Revenue Threat-Level Calculator</t>
  </si>
  <si>
    <t>Expense Threat-Level Calculator</t>
  </si>
  <si>
    <t>Expense</t>
  </si>
  <si>
    <t>Revenue</t>
  </si>
  <si>
    <t>REVENUE</t>
  </si>
  <si>
    <t>ISS Fee (Undergrads)</t>
  </si>
  <si>
    <t>EXPENSES</t>
  </si>
  <si>
    <t>Revenue_Amount</t>
  </si>
  <si>
    <t>Revenue_Description</t>
  </si>
  <si>
    <t>Revenue_Category</t>
  </si>
  <si>
    <t>Expense_Description</t>
  </si>
  <si>
    <t>Expense_Amount</t>
  </si>
  <si>
    <t>Payroll + Fringe, Full Time Staff</t>
  </si>
  <si>
    <t>Expense_Category</t>
  </si>
  <si>
    <t>EXPENSE</t>
  </si>
  <si>
    <t>NET POSITION</t>
  </si>
  <si>
    <t>Revised Budget at Threat Level:</t>
  </si>
  <si>
    <t>Actual Annual Budget</t>
  </si>
  <si>
    <t>Number of Students Abroad:</t>
  </si>
  <si>
    <t>Number of Years Reserve Balance Desired:</t>
  </si>
  <si>
    <t>IT, Phones, Parking, Server Maintenance, Copier Lease, UPS, Software</t>
  </si>
  <si>
    <t>Faculty Led Programming, Credit Card Fees, Incoming Exchange Students, Scholarships</t>
  </si>
  <si>
    <t>Programming, Marketing, Meals + Entertainment, Memberships, Events, Travel</t>
  </si>
  <si>
    <t>Administrative Overhead Assessed by University</t>
  </si>
  <si>
    <t>Student workers, temporary staff</t>
  </si>
  <si>
    <t>STUDY ABROAD DATA</t>
  </si>
  <si>
    <t>COVID</t>
  </si>
  <si>
    <t>Cost/Student to Bring Home</t>
  </si>
  <si>
    <t>Covers full time staff salaries at 100%, plus cost of bringing students home, for specified number of years at identified threat level.</t>
  </si>
  <si>
    <t>Reserve Balance Required:</t>
  </si>
  <si>
    <t>choose threat level</t>
  </si>
  <si>
    <r>
      <rPr>
        <b/>
        <sz val="11"/>
        <color theme="1"/>
        <rFont val="Aptos Narrow"/>
        <family val="2"/>
        <scheme val="minor"/>
      </rPr>
      <t>Approximate Cost to Bring Home All Students Abroad</t>
    </r>
    <r>
      <rPr>
        <sz val="11"/>
        <color theme="1"/>
        <rFont val="Aptos Narrow"/>
        <family val="2"/>
        <scheme val="minor"/>
      </rPr>
      <t xml:space="preserve">
</t>
    </r>
    <r>
      <rPr>
        <i/>
        <sz val="11"/>
        <color theme="1"/>
        <rFont val="Aptos Narrow"/>
        <family val="2"/>
        <scheme val="minor"/>
      </rPr>
      <t>(Based on Number of Students Budgeted to be Abroad 
x Cost Per to Bring Them Home)</t>
    </r>
  </si>
  <si>
    <t>Defending an existing reserve, or presenting the case to establish one:</t>
  </si>
  <si>
    <t>&lt;---- enter years</t>
  </si>
  <si>
    <r>
      <t>Expenses should</t>
    </r>
    <r>
      <rPr>
        <b/>
        <i/>
        <sz val="11"/>
        <color theme="1"/>
        <rFont val="Aptos Narrow"/>
        <family val="2"/>
        <scheme val="minor"/>
      </rPr>
      <t xml:space="preserve"> be reduced to X%</t>
    </r>
    <r>
      <rPr>
        <i/>
        <sz val="11"/>
        <color theme="1"/>
        <rFont val="Aptos Narrow"/>
        <family val="2"/>
        <scheme val="minor"/>
      </rPr>
      <t xml:space="preserve"> of budgeted amounts.</t>
    </r>
  </si>
  <si>
    <r>
      <t xml:space="preserve">Revenues will </t>
    </r>
    <r>
      <rPr>
        <b/>
        <i/>
        <sz val="11"/>
        <color theme="1"/>
        <rFont val="Aptos Narrow"/>
        <family val="2"/>
        <scheme val="minor"/>
      </rPr>
      <t xml:space="preserve">come in at X% </t>
    </r>
    <r>
      <rPr>
        <i/>
        <sz val="11"/>
        <color theme="1"/>
        <rFont val="Aptos Narrow"/>
        <family val="2"/>
        <scheme val="minor"/>
      </rPr>
      <t>of budgeted amounts.</t>
    </r>
  </si>
  <si>
    <t>Reserve Balance Calculator, developed by the University of Massachusetts, Amherst, a public University.</t>
  </si>
  <si>
    <t>Disclaimer: This calculator is for guiding purposes only and should not be considered financial advice. Reserve levels may vary by each institutions needs.</t>
  </si>
  <si>
    <t>*</t>
  </si>
  <si>
    <r>
      <rPr>
        <b/>
        <sz val="12"/>
        <color theme="1"/>
        <rFont val="Aptos Narrow"/>
        <family val="2"/>
        <scheme val="minor"/>
      </rPr>
      <t>*Alternatively,</t>
    </r>
    <r>
      <rPr>
        <sz val="12"/>
        <color theme="1"/>
        <rFont val="Aptos Narrow"/>
        <family val="2"/>
        <scheme val="minor"/>
      </rPr>
      <t xml:space="preserve"> if a Reserve does not exist, or if you are not able to have one that is under your control, here is how much you will need your Full Time Staff expense line by to stay at budget:
</t>
    </r>
    <r>
      <rPr>
        <i/>
        <sz val="12"/>
        <color theme="1"/>
        <rFont val="Aptos Narrow"/>
        <family val="2"/>
        <scheme val="minor"/>
      </rPr>
      <t>(for only one year, assuming other prudent cost-cutting procedures in place, and does NOT take into consideration the cost to bring students home):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</si>
</sst>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
    <numFmt numFmtId="170" formatCode="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18"/>
      <color theme="1"/>
      <name val="Aptos Narrow"/>
      <family val="2"/>
      <scheme val="minor"/>
    </font>
    <font>
      <b/>
      <sz val="12"/>
      <color theme="1"/>
      <name val="Aptos Narrow"/>
      <family val="2"/>
      <scheme val="minor"/>
    </font>
    <font>
      <b/>
      <sz val="14"/>
      <color theme="1"/>
      <name val="Aptos Narrow"/>
      <family val="2"/>
      <scheme val="minor"/>
    </font>
    <font>
      <b/>
      <sz val="16"/>
      <color rgb="FF0070C0"/>
      <name val="Aptos Narrow"/>
      <family val="2"/>
      <scheme val="minor"/>
    </font>
    <font>
      <b/>
      <i/>
      <sz val="11"/>
      <color theme="1"/>
      <name val="Aptos Narrow"/>
      <family val="2"/>
      <scheme val="minor"/>
    </font>
    <font>
      <sz val="10"/>
      <name val="Arial"/>
      <family val="2"/>
    </font>
    <font>
      <sz val="12"/>
      <color theme="1"/>
      <name val="Aptos Narrow"/>
      <family val="2"/>
      <scheme val="minor"/>
    </font>
    <font>
      <sz val="12"/>
      <name val="Aptos Narrow"/>
      <family val="2"/>
      <scheme val="minor"/>
    </font>
    <font>
      <sz val="20"/>
      <color theme="1"/>
      <name val="Aptos Narrow"/>
      <family val="2"/>
      <scheme val="minor"/>
    </font>
    <font>
      <b/>
      <sz val="14"/>
      <color theme="0"/>
      <name val="Aptos Narrow"/>
      <family val="2"/>
      <scheme val="minor"/>
    </font>
    <font>
      <b/>
      <u/>
      <sz val="14"/>
      <color theme="0"/>
      <name val="Aptos Narrow"/>
      <family val="2"/>
      <scheme val="minor"/>
    </font>
    <font>
      <u/>
      <sz val="11"/>
      <color theme="1"/>
      <name val="Aptos Narrow"/>
      <family val="2"/>
      <scheme val="minor"/>
    </font>
    <font>
      <b/>
      <sz val="20"/>
      <color theme="1"/>
      <name val="Aptos Narrow"/>
      <family val="2"/>
      <scheme val="minor"/>
    </font>
    <font>
      <b/>
      <u/>
      <sz val="11"/>
      <color theme="1"/>
      <name val="Aptos Narrow"/>
      <family val="2"/>
      <scheme val="minor"/>
    </font>
    <font>
      <b/>
      <i/>
      <sz val="20"/>
      <color theme="1"/>
      <name val="Aptos Narrow"/>
      <family val="2"/>
      <scheme val="minor"/>
    </font>
    <font>
      <i/>
      <sz val="11"/>
      <color theme="1"/>
      <name val="Aptos Narrow"/>
      <family val="2"/>
      <scheme val="minor"/>
    </font>
    <font>
      <b/>
      <u/>
      <sz val="18"/>
      <color theme="0"/>
      <name val="Aptos Narrow"/>
      <family val="2"/>
      <scheme val="minor"/>
    </font>
    <font>
      <sz val="16"/>
      <color rgb="FF0070C0"/>
      <name val="Aptos Narrow"/>
      <family val="2"/>
      <scheme val="minor"/>
    </font>
    <font>
      <i/>
      <sz val="14"/>
      <color theme="1"/>
      <name val="Aptos Narrow"/>
      <family val="2"/>
      <scheme val="minor"/>
    </font>
    <font>
      <i/>
      <sz val="10"/>
      <color theme="1"/>
      <name val="Aptos Narrow"/>
      <family val="2"/>
      <scheme val="minor"/>
    </font>
    <font>
      <i/>
      <sz val="12"/>
      <color theme="1"/>
      <name val="Aptos Narrow"/>
      <family val="2"/>
      <scheme val="minor"/>
    </font>
    <font>
      <b/>
      <i/>
      <sz val="14"/>
      <color theme="1"/>
      <name val="Aptos Narrow"/>
      <family val="2"/>
      <scheme val="minor"/>
    </font>
    <font>
      <sz val="24"/>
      <color theme="1"/>
      <name val="Aptos Narrow"/>
      <family val="2"/>
      <scheme val="minor"/>
    </font>
    <font>
      <sz val="28"/>
      <color theme="1"/>
      <name val="Aptos Narrow"/>
      <family val="2"/>
      <scheme val="minor"/>
    </font>
    <font>
      <b/>
      <sz val="18"/>
      <color theme="1"/>
      <name val="Aptos Narrow"/>
      <family val="2"/>
      <scheme val="minor"/>
    </font>
    <font>
      <sz val="14"/>
      <color theme="1"/>
      <name val="Aptos Narrow"/>
      <family val="2"/>
      <scheme val="minor"/>
    </font>
    <font>
      <b/>
      <sz val="12"/>
      <name val="Aptos Narrow"/>
      <family val="2"/>
      <scheme val="minor"/>
    </font>
    <font>
      <b/>
      <sz val="20"/>
      <name val="Aptos Narrow"/>
      <family val="2"/>
      <scheme val="minor"/>
    </font>
    <font>
      <sz val="20"/>
      <name val="Aptos Narrow"/>
      <family val="2"/>
      <scheme val="minor"/>
    </font>
    <font>
      <b/>
      <i/>
      <sz val="11"/>
      <name val="Aptos Narrow"/>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bgColor theme="4"/>
      </patternFill>
    </fill>
    <fill>
      <patternFill patternType="solid">
        <fgColor theme="5"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3"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theme="6"/>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82">
    <xf numFmtId="0" fontId="0" fillId="0" borderId="0" xfId="0"/>
    <xf numFmtId="0" fontId="2" fillId="0" borderId="0" xfId="0" applyFont="1"/>
    <xf numFmtId="0" fontId="9" fillId="0" borderId="0" xfId="0" applyFont="1"/>
    <xf numFmtId="0" fontId="10" fillId="0" borderId="2" xfId="4" applyFont="1" applyBorder="1" applyAlignment="1">
      <alignment vertical="center" wrapText="1"/>
    </xf>
    <xf numFmtId="0" fontId="10" fillId="0" borderId="2" xfId="0" applyFont="1" applyBorder="1" applyAlignment="1">
      <alignment vertical="center" wrapText="1"/>
    </xf>
    <xf numFmtId="0" fontId="11" fillId="0" borderId="0" xfId="0" applyFont="1"/>
    <xf numFmtId="0" fontId="12" fillId="0" borderId="0" xfId="4" applyFont="1" applyAlignment="1">
      <alignment horizontal="center" vertical="center" wrapText="1"/>
    </xf>
    <xf numFmtId="0" fontId="13" fillId="0" borderId="0" xfId="4" applyFont="1" applyAlignment="1">
      <alignment horizontal="center" vertical="center" wrapText="1"/>
    </xf>
    <xf numFmtId="0" fontId="15" fillId="2" borderId="0" xfId="0" applyFont="1" applyFill="1"/>
    <xf numFmtId="0" fontId="0" fillId="2" borderId="0" xfId="0" applyFill="1"/>
    <xf numFmtId="0" fontId="14" fillId="2" borderId="0" xfId="0" applyFont="1" applyFill="1"/>
    <xf numFmtId="164" fontId="0" fillId="2" borderId="0" xfId="1" applyNumberFormat="1" applyFont="1" applyFill="1"/>
    <xf numFmtId="164" fontId="2" fillId="2" borderId="0" xfId="0" applyNumberFormat="1" applyFont="1" applyFill="1"/>
    <xf numFmtId="164" fontId="0" fillId="2" borderId="0" xfId="0" applyNumberFormat="1" applyFill="1"/>
    <xf numFmtId="0" fontId="0" fillId="5" borderId="0" xfId="0" applyFill="1"/>
    <xf numFmtId="0" fontId="14" fillId="5" borderId="0" xfId="0" applyFont="1" applyFill="1"/>
    <xf numFmtId="164" fontId="0" fillId="5" borderId="0" xfId="1" applyNumberFormat="1" applyFont="1" applyFill="1"/>
    <xf numFmtId="164" fontId="2" fillId="5" borderId="0" xfId="0" applyNumberFormat="1" applyFont="1" applyFill="1"/>
    <xf numFmtId="164" fontId="0" fillId="5" borderId="0" xfId="0" applyNumberFormat="1" applyFill="1"/>
    <xf numFmtId="0" fontId="0" fillId="6" borderId="0" xfId="0" applyFill="1"/>
    <xf numFmtId="0" fontId="2" fillId="6" borderId="0" xfId="0" applyFont="1" applyFill="1"/>
    <xf numFmtId="0" fontId="16" fillId="2" borderId="0" xfId="0" applyFont="1" applyFill="1"/>
    <xf numFmtId="0" fontId="16" fillId="5" borderId="0" xfId="0" applyFont="1" applyFill="1"/>
    <xf numFmtId="0" fontId="2" fillId="5" borderId="0" xfId="0" applyFont="1" applyFill="1"/>
    <xf numFmtId="0" fontId="17" fillId="5" borderId="0" xfId="0" applyFont="1" applyFill="1"/>
    <xf numFmtId="0" fontId="18" fillId="5" borderId="0" xfId="0" applyFont="1" applyFill="1"/>
    <xf numFmtId="164" fontId="5" fillId="0" borderId="0" xfId="0" applyNumberFormat="1" applyFont="1" applyAlignment="1">
      <alignment vertical="center"/>
    </xf>
    <xf numFmtId="0" fontId="9" fillId="0" borderId="0" xfId="0" applyFont="1" applyAlignment="1">
      <alignment vertical="center"/>
    </xf>
    <xf numFmtId="0" fontId="2" fillId="0" borderId="0" xfId="0" applyFont="1" applyAlignment="1">
      <alignment horizontal="center"/>
    </xf>
    <xf numFmtId="0" fontId="3" fillId="3" borderId="1" xfId="0" applyFont="1" applyFill="1" applyBorder="1" applyAlignment="1">
      <alignment horizontal="center" vertical="center"/>
    </xf>
    <xf numFmtId="9" fontId="3" fillId="2" borderId="1" xfId="3" applyFont="1" applyFill="1" applyBorder="1" applyAlignment="1" applyProtection="1">
      <alignment horizontal="center" vertical="center"/>
    </xf>
    <xf numFmtId="0" fontId="0" fillId="8" borderId="0" xfId="0" applyFill="1"/>
    <xf numFmtId="0" fontId="0" fillId="8" borderId="0" xfId="0" applyFill="1" applyAlignment="1">
      <alignment horizontal="right"/>
    </xf>
    <xf numFmtId="0" fontId="6" fillId="8" borderId="0" xfId="0" applyFont="1" applyFill="1"/>
    <xf numFmtId="0" fontId="24" fillId="8" borderId="0" xfId="0" applyFont="1" applyFill="1" applyAlignment="1">
      <alignment horizontal="center" vertical="top"/>
    </xf>
    <xf numFmtId="0" fontId="19" fillId="4" borderId="11" xfId="4" applyFont="1" applyFill="1" applyBorder="1" applyAlignment="1">
      <alignment vertical="center" wrapText="1"/>
    </xf>
    <xf numFmtId="0" fontId="19" fillId="4" borderId="15" xfId="4" applyFont="1" applyFill="1" applyBorder="1" applyAlignment="1">
      <alignment vertical="center" wrapText="1"/>
    </xf>
    <xf numFmtId="0" fontId="19" fillId="4" borderId="13" xfId="4" applyFont="1" applyFill="1" applyBorder="1" applyAlignment="1">
      <alignment vertical="center" wrapText="1"/>
    </xf>
    <xf numFmtId="0" fontId="20" fillId="0" borderId="0" xfId="0" applyFont="1" applyAlignment="1">
      <alignment vertical="center"/>
    </xf>
    <xf numFmtId="0" fontId="9" fillId="0" borderId="0" xfId="0" applyFont="1" applyAlignment="1">
      <alignment vertical="center" wrapText="1"/>
    </xf>
    <xf numFmtId="0" fontId="22" fillId="0" borderId="0" xfId="0" applyFont="1" applyAlignment="1">
      <alignment vertical="center" wrapText="1"/>
    </xf>
    <xf numFmtId="0" fontId="25" fillId="0" borderId="0" xfId="0" applyFont="1"/>
    <xf numFmtId="0" fontId="21" fillId="0" borderId="0" xfId="0" applyFont="1" applyAlignment="1">
      <alignment vertical="center"/>
    </xf>
    <xf numFmtId="0" fontId="29" fillId="3" borderId="4" xfId="0" applyFont="1" applyFill="1" applyBorder="1" applyAlignment="1">
      <alignment horizontal="center" vertical="center" wrapText="1"/>
    </xf>
    <xf numFmtId="0" fontId="24" fillId="0" borderId="0" xfId="0" applyFont="1" applyAlignment="1">
      <alignment vertical="top"/>
    </xf>
    <xf numFmtId="0" fontId="28" fillId="0" borderId="0" xfId="0" applyFont="1" applyAlignment="1">
      <alignment horizontal="left" vertical="center"/>
    </xf>
    <xf numFmtId="0" fontId="15" fillId="3" borderId="3" xfId="0" applyFont="1" applyFill="1" applyBorder="1" applyAlignment="1">
      <alignment horizontal="right" vertical="center"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28" fillId="0" borderId="7" xfId="0" applyFont="1" applyBorder="1" applyAlignment="1">
      <alignment horizontal="center" vertical="center" wrapText="1"/>
    </xf>
    <xf numFmtId="165" fontId="27" fillId="0" borderId="4" xfId="2" applyNumberFormat="1" applyFont="1" applyFill="1" applyBorder="1" applyAlignment="1">
      <alignment horizontal="center" vertical="center"/>
    </xf>
    <xf numFmtId="165" fontId="27" fillId="0" borderId="5" xfId="2" applyNumberFormat="1" applyFont="1" applyFill="1" applyBorder="1" applyAlignment="1">
      <alignment horizontal="center" vertical="center"/>
    </xf>
    <xf numFmtId="165" fontId="27" fillId="0" borderId="6" xfId="2" applyNumberFormat="1" applyFont="1" applyFill="1" applyBorder="1" applyAlignment="1">
      <alignment horizontal="center" vertical="center"/>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165" fontId="15" fillId="0" borderId="4" xfId="2" applyNumberFormat="1" applyFont="1" applyFill="1" applyBorder="1" applyAlignment="1">
      <alignment horizontal="center" vertical="center"/>
    </xf>
    <xf numFmtId="165" fontId="15" fillId="0" borderId="5" xfId="2" applyNumberFormat="1" applyFont="1" applyFill="1" applyBorder="1" applyAlignment="1">
      <alignment horizontal="center" vertical="center"/>
    </xf>
    <xf numFmtId="165" fontId="15" fillId="0" borderId="6" xfId="2" applyNumberFormat="1" applyFont="1" applyFill="1" applyBorder="1" applyAlignment="1">
      <alignment horizontal="center" vertical="center"/>
    </xf>
    <xf numFmtId="0" fontId="18" fillId="8" borderId="0" xfId="0" applyFont="1" applyFill="1" applyAlignment="1">
      <alignment vertical="top"/>
    </xf>
    <xf numFmtId="164" fontId="9" fillId="7" borderId="0" xfId="1" applyNumberFormat="1" applyFont="1" applyFill="1" applyBorder="1" applyAlignment="1">
      <alignment vertical="center"/>
    </xf>
    <xf numFmtId="164" fontId="10" fillId="7" borderId="0" xfId="1" applyNumberFormat="1" applyFont="1" applyFill="1" applyBorder="1" applyAlignment="1">
      <alignment vertical="center" wrapText="1"/>
    </xf>
    <xf numFmtId="164" fontId="10" fillId="7" borderId="2" xfId="1" applyNumberFormat="1" applyFont="1" applyFill="1" applyBorder="1" applyAlignment="1">
      <alignment vertical="center" wrapText="1"/>
    </xf>
    <xf numFmtId="0" fontId="30" fillId="7" borderId="0" xfId="0" applyFont="1" applyFill="1" applyAlignment="1">
      <alignment horizontal="center" vertical="center"/>
    </xf>
    <xf numFmtId="0" fontId="31" fillId="7" borderId="8" xfId="0" applyFont="1" applyFill="1" applyBorder="1" applyAlignment="1">
      <alignment horizontal="center" vertical="center"/>
    </xf>
    <xf numFmtId="0" fontId="18" fillId="0" borderId="0" xfId="0" applyFont="1"/>
    <xf numFmtId="164" fontId="26" fillId="7" borderId="12" xfId="1" applyNumberFormat="1" applyFont="1" applyFill="1" applyBorder="1" applyAlignment="1">
      <alignment horizontal="center" vertical="center"/>
    </xf>
    <xf numFmtId="164" fontId="26" fillId="7" borderId="17" xfId="1" applyNumberFormat="1" applyFont="1" applyFill="1" applyBorder="1" applyAlignment="1">
      <alignment horizontal="center" vertical="center"/>
    </xf>
    <xf numFmtId="165" fontId="26" fillId="7" borderId="8" xfId="2" applyNumberFormat="1" applyFont="1" applyFill="1" applyBorder="1" applyAlignment="1">
      <alignment horizontal="center" vertical="center"/>
    </xf>
    <xf numFmtId="165" fontId="26" fillId="7" borderId="9" xfId="2" applyNumberFormat="1" applyFont="1" applyFill="1" applyBorder="1" applyAlignment="1">
      <alignment horizontal="center" vertical="center"/>
    </xf>
    <xf numFmtId="165" fontId="26" fillId="7" borderId="10" xfId="2" applyNumberFormat="1" applyFont="1" applyFill="1" applyBorder="1" applyAlignment="1">
      <alignment horizontal="center" vertical="center"/>
    </xf>
    <xf numFmtId="170" fontId="17" fillId="0" borderId="8" xfId="3" applyNumberFormat="1" applyFont="1" applyBorder="1" applyAlignment="1">
      <alignment horizontal="center" vertical="center"/>
    </xf>
    <xf numFmtId="170" fontId="17" fillId="0" borderId="9" xfId="3" applyNumberFormat="1" applyFont="1" applyBorder="1" applyAlignment="1">
      <alignment horizontal="center" vertical="center"/>
    </xf>
    <xf numFmtId="170" fontId="17" fillId="0" borderId="10" xfId="3" applyNumberFormat="1" applyFont="1" applyBorder="1" applyAlignment="1">
      <alignment horizontal="center" vertical="center"/>
    </xf>
    <xf numFmtId="0" fontId="32" fillId="5" borderId="0" xfId="0" applyFont="1" applyFill="1" applyAlignment="1">
      <alignment horizontal="right"/>
    </xf>
  </cellXfs>
  <cellStyles count="5">
    <cellStyle name="Comma" xfId="1" builtinId="3"/>
    <cellStyle name="Currency" xfId="2" builtinId="4"/>
    <cellStyle name="Normal" xfId="0" builtinId="0"/>
    <cellStyle name="Normal 2" xfId="4" xr:uid="{B94DF726-3BA5-48EE-A037-24F7D8D0BD25}"/>
    <cellStyle name="Percent" xfId="3" builtinId="5"/>
  </cellStyles>
  <dxfs count="20">
    <dxf>
      <font>
        <b val="0"/>
        <i val="0"/>
        <strike val="0"/>
        <condense val="0"/>
        <extend val="0"/>
        <outline val="0"/>
        <shadow val="0"/>
        <u val="none"/>
        <vertAlign val="baseline"/>
        <sz val="12"/>
        <color auto="1"/>
        <name val="Aptos Narrow"/>
        <family val="2"/>
        <scheme val="minor"/>
      </font>
      <numFmt numFmtId="164" formatCode="_(* #,##0_);_(* \(#,##0\);_(*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right/>
        <top style="thin">
          <color theme="6"/>
        </top>
        <bottom/>
      </border>
    </dxf>
    <dxf>
      <font>
        <b val="0"/>
        <i val="0"/>
        <strike val="0"/>
        <condense val="0"/>
        <extend val="0"/>
        <outline val="0"/>
        <shadow val="0"/>
        <u val="none"/>
        <vertAlign val="baseline"/>
        <sz val="12"/>
        <color auto="1"/>
        <name val="Aptos Narrow"/>
        <family val="2"/>
        <scheme val="minor"/>
      </font>
      <alignment horizontal="general" vertical="center" textRotation="0" wrapText="1" indent="0" justifyLastLine="0" shrinkToFit="0" readingOrder="0"/>
      <border diagonalUp="0" diagonalDown="0" outline="0">
        <left/>
        <right/>
        <top style="thin">
          <color theme="6"/>
        </top>
        <bottom/>
      </border>
    </dxf>
    <dxf>
      <font>
        <b val="0"/>
        <i val="0"/>
        <strike val="0"/>
        <condense val="0"/>
        <extend val="0"/>
        <outline val="0"/>
        <shadow val="0"/>
        <u val="none"/>
        <vertAlign val="baseline"/>
        <sz val="12"/>
        <color auto="1"/>
        <name val="Aptos Narrow"/>
        <family val="2"/>
        <scheme val="minor"/>
      </font>
      <alignment horizontal="general" vertical="center" textRotation="0" wrapText="1" indent="0" justifyLastLine="0" shrinkToFit="0" readingOrder="0"/>
      <border diagonalUp="0" diagonalDown="0" outline="0">
        <left/>
        <right/>
        <top style="thin">
          <color theme="6"/>
        </top>
        <bottom/>
      </border>
    </dxf>
    <dxf>
      <font>
        <b val="0"/>
        <i val="0"/>
        <strike val="0"/>
        <condense val="0"/>
        <extend val="0"/>
        <outline val="0"/>
        <shadow val="0"/>
        <u val="none"/>
        <vertAlign val="baseline"/>
        <sz val="12"/>
        <color theme="1"/>
        <name val="Aptos Narrow"/>
        <family val="2"/>
        <scheme val="minor"/>
      </font>
      <numFmt numFmtId="164" formatCode="_(* #,##0_);_(* \(#,##0\);_(* &quot;-&quot;??_);_(@_)"/>
      <fill>
        <patternFill patternType="solid">
          <fgColor indexed="64"/>
          <bgColor theme="8" tint="0.79998168889431442"/>
        </patternFill>
      </fill>
      <alignment horizontal="general" vertical="center" textRotation="0" indent="0" justifyLastLine="0" shrinkToFit="0" readingOrder="0"/>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alignment horizontal="general" vertical="center" textRotation="0" indent="0" justifyLastLine="0" shrinkToFit="0" readingOrder="0"/>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alignment horizontal="general" vertical="center" textRotation="0" indent="0" justifyLastLine="0" shrinkToFit="0" readingOrder="0"/>
    </dxf>
    <dxf>
      <alignment horizontal="general" vertical="center" textRotation="0" indent="0" justifyLastLine="0" shrinkToFit="0" readingOrder="0"/>
    </dxf>
    <dxf>
      <font>
        <strike val="0"/>
        <outline val="0"/>
        <shadow val="0"/>
        <u val="none"/>
        <vertAlign val="baseline"/>
        <sz val="14"/>
        <color theme="0"/>
        <name val="Aptos Narrow"/>
        <family val="2"/>
        <scheme val="minor"/>
      </font>
    </dxf>
    <dxf>
      <border outline="0">
        <left style="thin">
          <color theme="6"/>
        </left>
        <right style="thin">
          <color theme="6"/>
        </right>
        <top style="thin">
          <color theme="6"/>
        </top>
      </border>
    </dxf>
    <dxf>
      <font>
        <b val="0"/>
        <i val="0"/>
        <strike val="0"/>
        <condense val="0"/>
        <extend val="0"/>
        <outline val="0"/>
        <shadow val="0"/>
        <u val="none"/>
        <vertAlign val="baseline"/>
        <sz val="12"/>
        <color auto="1"/>
        <name val="Aptos Narrow"/>
        <family val="2"/>
        <scheme val="minor"/>
      </font>
      <alignment horizontal="general" vertical="center" textRotation="0" wrapText="1" indent="0" justifyLastLine="0" shrinkToFit="0" readingOrder="0"/>
    </dxf>
    <dxf>
      <font>
        <b/>
        <i val="0"/>
        <strike val="0"/>
        <condense val="0"/>
        <extend val="0"/>
        <outline val="0"/>
        <shadow val="0"/>
        <u/>
        <vertAlign val="baseline"/>
        <sz val="14"/>
        <color theme="0"/>
        <name val="Aptos Narrow"/>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protection locked="1" hidden="0"/>
    </dxf>
    <dxf>
      <protection locked="1" hidden="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protection locked="1" hidden="0"/>
    </dxf>
    <dxf>
      <protection locked="1" hidden="0"/>
    </dxf>
    <dxf>
      <protection locked="1" hidden="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protection locked="1" hidden="0"/>
    </dxf>
    <dxf>
      <protection locked="1" hidden="0"/>
    </dxf>
    <dxf>
      <protection locked="1" hidden="0"/>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108352</xdr:rowOff>
    </xdr:from>
    <xdr:to>
      <xdr:col>16</xdr:col>
      <xdr:colOff>200025</xdr:colOff>
      <xdr:row>60</xdr:row>
      <xdr:rowOff>106816</xdr:rowOff>
    </xdr:to>
    <xdr:pic>
      <xdr:nvPicPr>
        <xdr:cNvPr id="2" name="Picture 1">
          <a:extLst>
            <a:ext uri="{FF2B5EF4-FFF2-40B4-BE49-F238E27FC236}">
              <a16:creationId xmlns:a16="http://schemas.microsoft.com/office/drawing/2014/main" id="{1002BC82-E1B3-7021-C77C-B76524322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98852"/>
          <a:ext cx="9953625" cy="112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1014047</xdr:colOff>
      <xdr:row>11</xdr:row>
      <xdr:rowOff>136070</xdr:rowOff>
    </xdr:from>
    <xdr:ext cx="1785258" cy="1094016"/>
    <xdr:sp macro="" textlink="">
      <xdr:nvSpPr>
        <xdr:cNvPr id="2" name="TextBox 1">
          <a:extLst>
            <a:ext uri="{FF2B5EF4-FFF2-40B4-BE49-F238E27FC236}">
              <a16:creationId xmlns:a16="http://schemas.microsoft.com/office/drawing/2014/main" id="{A54099B5-1C6D-8A26-B5D6-7D5F4F149473}"/>
            </a:ext>
          </a:extLst>
        </xdr:cNvPr>
        <xdr:cNvSpPr txBox="1"/>
      </xdr:nvSpPr>
      <xdr:spPr>
        <a:xfrm>
          <a:off x="1014047" y="3521108"/>
          <a:ext cx="1785258" cy="1094016"/>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These are the categories</a:t>
          </a:r>
          <a:r>
            <a:rPr lang="en-US" sz="1100" baseline="0"/>
            <a:t> of Revenue and Expense which made sense to UMass Amherst.   They can be altered to fit your needs.</a:t>
          </a:r>
        </a:p>
        <a:p>
          <a:endParaRPr lang="en-US" sz="1100"/>
        </a:p>
      </xdr:txBody>
    </xdr:sp>
    <xdr:clientData/>
  </xdr:oneCellAnchor>
  <xdr:twoCellAnchor>
    <xdr:from>
      <xdr:col>0</xdr:col>
      <xdr:colOff>893885</xdr:colOff>
      <xdr:row>5</xdr:row>
      <xdr:rowOff>0</xdr:rowOff>
    </xdr:from>
    <xdr:to>
      <xdr:col>0</xdr:col>
      <xdr:colOff>1238250</xdr:colOff>
      <xdr:row>11</xdr:row>
      <xdr:rowOff>139212</xdr:rowOff>
    </xdr:to>
    <xdr:cxnSp macro="">
      <xdr:nvCxnSpPr>
        <xdr:cNvPr id="4" name="Straight Arrow Connector 3">
          <a:extLst>
            <a:ext uri="{FF2B5EF4-FFF2-40B4-BE49-F238E27FC236}">
              <a16:creationId xmlns:a16="http://schemas.microsoft.com/office/drawing/2014/main" id="{6400B8D9-7599-B04B-0A3F-CC74D2F5CBD2}"/>
            </a:ext>
          </a:extLst>
        </xdr:cNvPr>
        <xdr:cNvCxnSpPr/>
      </xdr:nvCxnSpPr>
      <xdr:spPr>
        <a:xfrm flipH="1" flipV="1">
          <a:off x="893885" y="1538654"/>
          <a:ext cx="344365" cy="198559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360695</xdr:colOff>
      <xdr:row>6</xdr:row>
      <xdr:rowOff>293077</xdr:rowOff>
    </xdr:from>
    <xdr:to>
      <xdr:col>1</xdr:col>
      <xdr:colOff>578827</xdr:colOff>
      <xdr:row>11</xdr:row>
      <xdr:rowOff>136070</xdr:rowOff>
    </xdr:to>
    <xdr:cxnSp macro="">
      <xdr:nvCxnSpPr>
        <xdr:cNvPr id="6" name="Straight Arrow Connector 5">
          <a:extLst>
            <a:ext uri="{FF2B5EF4-FFF2-40B4-BE49-F238E27FC236}">
              <a16:creationId xmlns:a16="http://schemas.microsoft.com/office/drawing/2014/main" id="{73026F8E-71D9-B28F-D8EA-49DDC77BB02E}"/>
            </a:ext>
          </a:extLst>
        </xdr:cNvPr>
        <xdr:cNvCxnSpPr>
          <a:stCxn id="2" idx="0"/>
        </xdr:cNvCxnSpPr>
      </xdr:nvCxnSpPr>
      <xdr:spPr>
        <a:xfrm flipV="1">
          <a:off x="1906676" y="2139462"/>
          <a:ext cx="218132" cy="138164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60290</xdr:colOff>
      <xdr:row>8</xdr:row>
      <xdr:rowOff>5443</xdr:rowOff>
    </xdr:from>
    <xdr:ext cx="2324100" cy="1125693"/>
    <xdr:sp macro="" textlink="">
      <xdr:nvSpPr>
        <xdr:cNvPr id="7" name="TextBox 6">
          <a:extLst>
            <a:ext uri="{FF2B5EF4-FFF2-40B4-BE49-F238E27FC236}">
              <a16:creationId xmlns:a16="http://schemas.microsoft.com/office/drawing/2014/main" id="{230F804F-0436-659C-814C-EA3261BF8262}"/>
            </a:ext>
          </a:extLst>
        </xdr:cNvPr>
        <xdr:cNvSpPr txBox="1"/>
      </xdr:nvSpPr>
      <xdr:spPr>
        <a:xfrm>
          <a:off x="13585790" y="2467289"/>
          <a:ext cx="2324100" cy="112569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The percentages here can be edited to fit your needs.  Note that for UMass, the "Critical" threat level percentages best reflect our</a:t>
          </a:r>
          <a:r>
            <a:rPr lang="en-US" sz="1100" baseline="0"/>
            <a:t> own situation from FY21 / COVID.</a:t>
          </a:r>
        </a:p>
        <a:p>
          <a:endParaRPr lang="en-US" sz="1100"/>
        </a:p>
      </xdr:txBody>
    </xdr:sp>
    <xdr:clientData/>
  </xdr:oneCellAnchor>
  <xdr:twoCellAnchor>
    <xdr:from>
      <xdr:col>12</xdr:col>
      <xdr:colOff>153865</xdr:colOff>
      <xdr:row>3</xdr:row>
      <xdr:rowOff>241789</xdr:rowOff>
    </xdr:from>
    <xdr:to>
      <xdr:col>13</xdr:col>
      <xdr:colOff>586154</xdr:colOff>
      <xdr:row>7</xdr:row>
      <xdr:rowOff>95250</xdr:rowOff>
    </xdr:to>
    <xdr:cxnSp macro="">
      <xdr:nvCxnSpPr>
        <xdr:cNvPr id="8" name="Straight Arrow Connector 7">
          <a:extLst>
            <a:ext uri="{FF2B5EF4-FFF2-40B4-BE49-F238E27FC236}">
              <a16:creationId xmlns:a16="http://schemas.microsoft.com/office/drawing/2014/main" id="{580CF212-3C3D-4336-B3D8-8260693D1ADC}"/>
            </a:ext>
          </a:extLst>
        </xdr:cNvPr>
        <xdr:cNvCxnSpPr/>
      </xdr:nvCxnSpPr>
      <xdr:spPr>
        <a:xfrm flipH="1" flipV="1">
          <a:off x="12463096" y="1164981"/>
          <a:ext cx="1040423" cy="108438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190500</xdr:colOff>
      <xdr:row>12</xdr:row>
      <xdr:rowOff>14654</xdr:rowOff>
    </xdr:from>
    <xdr:to>
      <xdr:col>14</xdr:col>
      <xdr:colOff>161192</xdr:colOff>
      <xdr:row>15</xdr:row>
      <xdr:rowOff>278423</xdr:rowOff>
    </xdr:to>
    <xdr:cxnSp macro="">
      <xdr:nvCxnSpPr>
        <xdr:cNvPr id="10" name="Straight Arrow Connector 9">
          <a:extLst>
            <a:ext uri="{FF2B5EF4-FFF2-40B4-BE49-F238E27FC236}">
              <a16:creationId xmlns:a16="http://schemas.microsoft.com/office/drawing/2014/main" id="{ECE04C86-A2A0-43FF-A123-A35DED7778A2}"/>
            </a:ext>
          </a:extLst>
        </xdr:cNvPr>
        <xdr:cNvCxnSpPr/>
      </xdr:nvCxnSpPr>
      <xdr:spPr>
        <a:xfrm flipH="1">
          <a:off x="12499731" y="3707423"/>
          <a:ext cx="1186961" cy="11869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xdr:col>
      <xdr:colOff>1692519</xdr:colOff>
      <xdr:row>9</xdr:row>
      <xdr:rowOff>219808</xdr:rowOff>
    </xdr:from>
    <xdr:ext cx="1785258" cy="1094016"/>
    <xdr:sp macro="" textlink="">
      <xdr:nvSpPr>
        <xdr:cNvPr id="23" name="TextBox 22">
          <a:extLst>
            <a:ext uri="{FF2B5EF4-FFF2-40B4-BE49-F238E27FC236}">
              <a16:creationId xmlns:a16="http://schemas.microsoft.com/office/drawing/2014/main" id="{325A9AAD-A5CC-4756-9355-C4BB2AC07889}"/>
            </a:ext>
          </a:extLst>
        </xdr:cNvPr>
        <xdr:cNvSpPr txBox="1"/>
      </xdr:nvSpPr>
      <xdr:spPr>
        <a:xfrm>
          <a:off x="3238500" y="2989385"/>
          <a:ext cx="1785258" cy="1094016"/>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These are the threat level</a:t>
          </a:r>
          <a:r>
            <a:rPr lang="en-US" sz="1100" baseline="0"/>
            <a:t> breakdowns that made sense to UMass Amherst.   They can be altered to fit your needs.</a:t>
          </a:r>
        </a:p>
        <a:p>
          <a:endParaRPr lang="en-US" sz="1100"/>
        </a:p>
      </xdr:txBody>
    </xdr:sp>
    <xdr:clientData/>
  </xdr:oneCellAnchor>
  <xdr:twoCellAnchor>
    <xdr:from>
      <xdr:col>2</xdr:col>
      <xdr:colOff>328456</xdr:colOff>
      <xdr:row>7</xdr:row>
      <xdr:rowOff>43962</xdr:rowOff>
    </xdr:from>
    <xdr:to>
      <xdr:col>2</xdr:col>
      <xdr:colOff>351692</xdr:colOff>
      <xdr:row>9</xdr:row>
      <xdr:rowOff>219808</xdr:rowOff>
    </xdr:to>
    <xdr:cxnSp macro="">
      <xdr:nvCxnSpPr>
        <xdr:cNvPr id="24" name="Straight Arrow Connector 23">
          <a:extLst>
            <a:ext uri="{FF2B5EF4-FFF2-40B4-BE49-F238E27FC236}">
              <a16:creationId xmlns:a16="http://schemas.microsoft.com/office/drawing/2014/main" id="{AFC65928-37CA-4CCE-9C44-CDFBB9666093}"/>
            </a:ext>
          </a:extLst>
        </xdr:cNvPr>
        <xdr:cNvCxnSpPr>
          <a:stCxn id="23" idx="0"/>
        </xdr:cNvCxnSpPr>
      </xdr:nvCxnSpPr>
      <xdr:spPr>
        <a:xfrm flipV="1">
          <a:off x="4131129" y="2198077"/>
          <a:ext cx="23236" cy="79130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604630</xdr:colOff>
      <xdr:row>9</xdr:row>
      <xdr:rowOff>323022</xdr:rowOff>
    </xdr:from>
    <xdr:to>
      <xdr:col>2</xdr:col>
      <xdr:colOff>107674</xdr:colOff>
      <xdr:row>18</xdr:row>
      <xdr:rowOff>107674</xdr:rowOff>
    </xdr:to>
    <xdr:sp macro="" textlink="">
      <xdr:nvSpPr>
        <xdr:cNvPr id="2" name="TextBox 1">
          <a:extLst>
            <a:ext uri="{FF2B5EF4-FFF2-40B4-BE49-F238E27FC236}">
              <a16:creationId xmlns:a16="http://schemas.microsoft.com/office/drawing/2014/main" id="{3A96FEFB-96B3-ACC4-8C41-E2ED07E4E8ED}"/>
            </a:ext>
          </a:extLst>
        </xdr:cNvPr>
        <xdr:cNvSpPr txBox="1"/>
      </xdr:nvSpPr>
      <xdr:spPr>
        <a:xfrm>
          <a:off x="604630" y="4008783"/>
          <a:ext cx="2940327" cy="163995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This way</a:t>
          </a:r>
          <a:r>
            <a:rPr lang="en-US" sz="1600" baseline="0"/>
            <a:t> of dividing revenue made the most sense to UMass Amherst, based on how COVID affected each area of our revenue.  It can be adapted to your University's needs.</a:t>
          </a:r>
          <a:endParaRPr lang="en-US" sz="1600"/>
        </a:p>
      </xdr:txBody>
    </xdr:sp>
    <xdr:clientData/>
  </xdr:twoCellAnchor>
  <xdr:twoCellAnchor>
    <xdr:from>
      <xdr:col>0</xdr:col>
      <xdr:colOff>1275522</xdr:colOff>
      <xdr:row>7</xdr:row>
      <xdr:rowOff>140805</xdr:rowOff>
    </xdr:from>
    <xdr:to>
      <xdr:col>0</xdr:col>
      <xdr:colOff>2037522</xdr:colOff>
      <xdr:row>9</xdr:row>
      <xdr:rowOff>157369</xdr:rowOff>
    </xdr:to>
    <xdr:cxnSp macro="">
      <xdr:nvCxnSpPr>
        <xdr:cNvPr id="4" name="Straight Arrow Connector 3">
          <a:extLst>
            <a:ext uri="{FF2B5EF4-FFF2-40B4-BE49-F238E27FC236}">
              <a16:creationId xmlns:a16="http://schemas.microsoft.com/office/drawing/2014/main" id="{4C053154-1B6B-BF2E-B879-21A3FD5B68C7}"/>
            </a:ext>
          </a:extLst>
        </xdr:cNvPr>
        <xdr:cNvCxnSpPr/>
      </xdr:nvCxnSpPr>
      <xdr:spPr>
        <a:xfrm flipH="1" flipV="1">
          <a:off x="1275522" y="2948609"/>
          <a:ext cx="762000" cy="89452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1673086</xdr:colOff>
      <xdr:row>14</xdr:row>
      <xdr:rowOff>124239</xdr:rowOff>
    </xdr:from>
    <xdr:to>
      <xdr:col>6</xdr:col>
      <xdr:colOff>1068456</xdr:colOff>
      <xdr:row>28</xdr:row>
      <xdr:rowOff>165652</xdr:rowOff>
    </xdr:to>
    <xdr:sp macro="" textlink="">
      <xdr:nvSpPr>
        <xdr:cNvPr id="5" name="TextBox 4">
          <a:extLst>
            <a:ext uri="{FF2B5EF4-FFF2-40B4-BE49-F238E27FC236}">
              <a16:creationId xmlns:a16="http://schemas.microsoft.com/office/drawing/2014/main" id="{FFCB420E-039D-9828-1341-CF7866AC042A}"/>
            </a:ext>
          </a:extLst>
        </xdr:cNvPr>
        <xdr:cNvSpPr txBox="1"/>
      </xdr:nvSpPr>
      <xdr:spPr>
        <a:xfrm>
          <a:off x="7346673" y="4903304"/>
          <a:ext cx="3702326" cy="270841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mn-lt"/>
              <a:ea typeface="+mn-ea"/>
              <a:cs typeface="+mn-cs"/>
            </a:rPr>
            <a:t>This way</a:t>
          </a:r>
          <a:r>
            <a:rPr lang="en-US" sz="1600" baseline="0">
              <a:solidFill>
                <a:schemeClr val="dk1"/>
              </a:solidFill>
              <a:effectLst/>
              <a:latin typeface="+mn-lt"/>
              <a:ea typeface="+mn-ea"/>
              <a:cs typeface="+mn-cs"/>
            </a:rPr>
            <a:t> of dividing expenses made the most sense to UMass Amherst.   it is assumed that some expenses will go down in tandem with missed revenues.  Some expenses are fixed, like leases or maintenance contracts.  Others, like travel or marketing, can be cut quickly and deeply.  The overall goal for UMass is to preserve salary for all full time staff, to the best of our 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1600">
            <a:effectLst/>
          </a:endParaRPr>
        </a:p>
        <a:p>
          <a:endParaRPr lang="en-US" sz="1100"/>
        </a:p>
      </xdr:txBody>
    </xdr:sp>
    <xdr:clientData/>
  </xdr:twoCellAnchor>
  <xdr:twoCellAnchor>
    <xdr:from>
      <xdr:col>6</xdr:col>
      <xdr:colOff>99392</xdr:colOff>
      <xdr:row>9</xdr:row>
      <xdr:rowOff>190500</xdr:rowOff>
    </xdr:from>
    <xdr:to>
      <xdr:col>6</xdr:col>
      <xdr:colOff>836544</xdr:colOff>
      <xdr:row>13</xdr:row>
      <xdr:rowOff>182218</xdr:rowOff>
    </xdr:to>
    <xdr:cxnSp macro="">
      <xdr:nvCxnSpPr>
        <xdr:cNvPr id="7" name="Straight Arrow Connector 6">
          <a:extLst>
            <a:ext uri="{FF2B5EF4-FFF2-40B4-BE49-F238E27FC236}">
              <a16:creationId xmlns:a16="http://schemas.microsoft.com/office/drawing/2014/main" id="{776B9091-772F-45F9-9FD5-F454ED5957AE}"/>
            </a:ext>
          </a:extLst>
        </xdr:cNvPr>
        <xdr:cNvCxnSpPr/>
      </xdr:nvCxnSpPr>
      <xdr:spPr>
        <a:xfrm flipV="1">
          <a:off x="10079935" y="3876261"/>
          <a:ext cx="737152" cy="89452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670891</xdr:colOff>
      <xdr:row>12</xdr:row>
      <xdr:rowOff>149086</xdr:rowOff>
    </xdr:from>
    <xdr:ext cx="3197087" cy="2865783"/>
    <xdr:sp macro="" textlink="">
      <xdr:nvSpPr>
        <xdr:cNvPr id="9" name="TextBox 8">
          <a:extLst>
            <a:ext uri="{FF2B5EF4-FFF2-40B4-BE49-F238E27FC236}">
              <a16:creationId xmlns:a16="http://schemas.microsoft.com/office/drawing/2014/main" id="{E87BFD6E-DE32-6E1F-5259-3446AC0EB3F8}"/>
            </a:ext>
          </a:extLst>
        </xdr:cNvPr>
        <xdr:cNvSpPr txBox="1"/>
      </xdr:nvSpPr>
      <xdr:spPr>
        <a:xfrm>
          <a:off x="15124043" y="4547151"/>
          <a:ext cx="3197087" cy="286578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a:t>Enter approximate number</a:t>
          </a:r>
          <a:r>
            <a:rPr lang="en-US" sz="1800" baseline="0"/>
            <a:t> of students you send abroad each year, and your best guess as to cost per student to bring them home.  This should be factored into your reserve requirements, and is arguably the most defendible part of your reserve balance.</a:t>
          </a:r>
          <a:endParaRPr lang="en-US" sz="1800"/>
        </a:p>
      </xdr:txBody>
    </xdr:sp>
    <xdr:clientData/>
  </xdr:oneCellAnchor>
  <xdr:twoCellAnchor>
    <xdr:from>
      <xdr:col>8</xdr:col>
      <xdr:colOff>1871870</xdr:colOff>
      <xdr:row>8</xdr:row>
      <xdr:rowOff>165652</xdr:rowOff>
    </xdr:from>
    <xdr:to>
      <xdr:col>8</xdr:col>
      <xdr:colOff>1929848</xdr:colOff>
      <xdr:row>11</xdr:row>
      <xdr:rowOff>124239</xdr:rowOff>
    </xdr:to>
    <xdr:cxnSp macro="">
      <xdr:nvCxnSpPr>
        <xdr:cNvPr id="11" name="Straight Arrow Connector 10">
          <a:extLst>
            <a:ext uri="{FF2B5EF4-FFF2-40B4-BE49-F238E27FC236}">
              <a16:creationId xmlns:a16="http://schemas.microsoft.com/office/drawing/2014/main" id="{4018853B-7D7D-95D9-2131-BF85A1C2F979}"/>
            </a:ext>
          </a:extLst>
        </xdr:cNvPr>
        <xdr:cNvCxnSpPr/>
      </xdr:nvCxnSpPr>
      <xdr:spPr>
        <a:xfrm flipH="1" flipV="1">
          <a:off x="16325022" y="3412435"/>
          <a:ext cx="57978" cy="91936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586155</xdr:colOff>
      <xdr:row>3</xdr:row>
      <xdr:rowOff>43962</xdr:rowOff>
    </xdr:from>
    <xdr:to>
      <xdr:col>10</xdr:col>
      <xdr:colOff>600808</xdr:colOff>
      <xdr:row>5</xdr:row>
      <xdr:rowOff>109904</xdr:rowOff>
    </xdr:to>
    <xdr:cxnSp macro="">
      <xdr:nvCxnSpPr>
        <xdr:cNvPr id="5" name="Straight Arrow Connector 4">
          <a:extLst>
            <a:ext uri="{FF2B5EF4-FFF2-40B4-BE49-F238E27FC236}">
              <a16:creationId xmlns:a16="http://schemas.microsoft.com/office/drawing/2014/main" id="{0A900C3D-E536-9909-FA79-29BDB3F46D76}"/>
            </a:ext>
          </a:extLst>
        </xdr:cNvPr>
        <xdr:cNvCxnSpPr/>
      </xdr:nvCxnSpPr>
      <xdr:spPr>
        <a:xfrm flipH="1" flipV="1">
          <a:off x="8828943" y="762000"/>
          <a:ext cx="14653" cy="44694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4C66F4-95AD-49C1-9F2C-9C7FE1AEFBCF}" name="Revenue" displayName="Revenue" ref="A1:A5" totalsRowShown="0" headerRowDxfId="19" dataDxfId="18">
  <autoFilter ref="A1:A5" xr:uid="{A54C66F4-95AD-49C1-9F2C-9C7FE1AEFBCF}"/>
  <tableColumns count="1">
    <tableColumn id="1" xr3:uid="{ED200B71-6A1E-41BF-88BA-FB42AF22B5EF}" name="Revenue"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A5B120-3431-4E4D-9BD8-692CA3182F41}" name="Expenses" displayName="Expenses" ref="B1:B7" totalsRowShown="0" headerRowDxfId="16" dataDxfId="15">
  <autoFilter ref="B1:B7" xr:uid="{5FA5B120-3431-4E4D-9BD8-692CA3182F41}"/>
  <tableColumns count="1">
    <tableColumn id="1" xr3:uid="{C9539839-DC3F-41DE-B2CC-2AE0D981C4E2}" name="Expense" dataDxfId="1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1E3C4E-3BA9-42B0-B19A-B43440C85205}" name="ThreatLevel" displayName="ThreatLevel" ref="C1:C7" totalsRowShown="0" headerRowDxfId="13" dataDxfId="12">
  <autoFilter ref="C1:C7" xr:uid="{DC1E3C4E-3BA9-42B0-B19A-B43440C85205}"/>
  <tableColumns count="1">
    <tableColumn id="1" xr3:uid="{415591A8-1974-48ED-8016-25A1CB77DDCE}" name="Threat_Level" dataDxfId="1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E4658B-7065-4401-A5DB-F7D73AD51737}" name="Budget_Expenses" displayName="Budget_Expenses" ref="E3:G9" totalsRowShown="0" headerRowDxfId="10" dataDxfId="9" tableBorderDxfId="8" headerRowCellStyle="Normal 2" dataCellStyle="Normal 2">
  <autoFilter ref="E3:G9" xr:uid="{AEE4658B-7065-4401-A5DB-F7D73AD51737}"/>
  <sortState xmlns:xlrd2="http://schemas.microsoft.com/office/spreadsheetml/2017/richdata2" ref="E4:G9">
    <sortCondition ref="G3:G9"/>
  </sortState>
  <tableColumns count="3">
    <tableColumn id="2" xr3:uid="{E8DEA681-9B1D-4CC0-87F5-702AEFDC527C}" name="Expense_Description" dataDxfId="2" dataCellStyle="Normal 2"/>
    <tableColumn id="3" xr3:uid="{3DAE9993-9E17-4347-B1C9-3EBA054C7720}" name="Expense_Amount" dataDxfId="0" dataCellStyle="Comma"/>
    <tableColumn id="5" xr3:uid="{1C9482DD-A40C-43E3-A1A8-0489C78EEAEF}" name="Expense_Category" dataDxfId="1" dataCellStyle="Normal 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AC2F81-0174-47BE-AC76-96DD961F4EC9}" name="Budget_Revenue" displayName="Budget_Revenue" ref="A3:C7" totalsRowShown="0" headerRowDxfId="7" dataDxfId="6">
  <autoFilter ref="A3:C7" xr:uid="{67AC2F81-0174-47BE-AC76-96DD961F4EC9}"/>
  <sortState xmlns:xlrd2="http://schemas.microsoft.com/office/spreadsheetml/2017/richdata2" ref="A4:C7">
    <sortCondition ref="C3:C7"/>
  </sortState>
  <tableColumns count="3">
    <tableColumn id="1" xr3:uid="{694292B3-7977-476B-8438-BBD8D092347E}" name="Revenue_Description" dataDxfId="5"/>
    <tableColumn id="2" xr3:uid="{1CFEC66F-D266-4C73-9CBC-62068C831D7C}" name="Revenue_Amount" dataDxfId="3" dataCellStyle="Comma"/>
    <tableColumn id="3" xr3:uid="{71AD772E-8CB8-490C-A164-F53E01D64A2A}" name="Revenue_Category"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B90-94EA-4C5B-BDA9-4345EB99FB68}">
  <dimension ref="A1"/>
  <sheetViews>
    <sheetView workbookViewId="0">
      <selection activeCell="AH30" sqref="AH3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1150A-1C6C-462B-9F58-44676D812650}">
  <sheetPr>
    <pageSetUpPr fitToPage="1"/>
  </sheetPr>
  <dimension ref="A1:L18"/>
  <sheetViews>
    <sheetView showGridLines="0" zoomScale="130" zoomScaleNormal="130" workbookViewId="0">
      <selection activeCell="C20" sqref="C20"/>
    </sheetView>
  </sheetViews>
  <sheetFormatPr defaultRowHeight="24" customHeight="1" x14ac:dyDescent="0.25"/>
  <cols>
    <col min="1" max="1" width="23.140625" bestFit="1" customWidth="1"/>
    <col min="2" max="2" width="33.85546875" bestFit="1" customWidth="1"/>
    <col min="3" max="4" width="13" customWidth="1"/>
    <col min="5" max="5" width="3.140625" customWidth="1"/>
    <col min="6" max="6" width="34.7109375" customWidth="1"/>
    <col min="7" max="7" width="11.140625" customWidth="1"/>
    <col min="8" max="9" width="14.42578125" bestFit="1" customWidth="1"/>
    <col min="10" max="10" width="13.140625" bestFit="1" customWidth="1"/>
    <col min="11" max="11" width="11.140625" bestFit="1" customWidth="1"/>
    <col min="12" max="12" width="12.5703125" bestFit="1" customWidth="1"/>
  </cols>
  <sheetData>
    <row r="1" spans="1:12" s="1" customFormat="1" ht="24" customHeight="1" x14ac:dyDescent="0.35">
      <c r="A1" s="28" t="s">
        <v>19</v>
      </c>
      <c r="B1" s="28" t="s">
        <v>18</v>
      </c>
      <c r="C1" s="28" t="s">
        <v>9</v>
      </c>
      <c r="D1" s="28"/>
      <c r="F1" s="31"/>
      <c r="G1" s="33" t="s">
        <v>16</v>
      </c>
      <c r="H1" s="31"/>
      <c r="I1" s="31"/>
      <c r="J1" s="31"/>
      <c r="K1" s="31"/>
      <c r="L1" s="31"/>
    </row>
    <row r="2" spans="1:12" ht="24" customHeight="1" x14ac:dyDescent="0.25">
      <c r="A2" t="s">
        <v>21</v>
      </c>
      <c r="B2" t="s">
        <v>4</v>
      </c>
      <c r="C2" t="s">
        <v>10</v>
      </c>
      <c r="F2" s="31"/>
      <c r="G2" s="66" t="s">
        <v>51</v>
      </c>
      <c r="H2" s="31"/>
      <c r="I2" s="31"/>
      <c r="J2" s="31"/>
      <c r="K2" s="34" t="s">
        <v>42</v>
      </c>
      <c r="L2" s="31"/>
    </row>
    <row r="3" spans="1:12" ht="24" customHeight="1" x14ac:dyDescent="0.25">
      <c r="A3" t="s">
        <v>0</v>
      </c>
      <c r="B3" t="s">
        <v>3</v>
      </c>
      <c r="C3" t="s">
        <v>11</v>
      </c>
      <c r="F3" s="32"/>
      <c r="G3" s="29" t="s">
        <v>10</v>
      </c>
      <c r="H3" s="29" t="s">
        <v>11</v>
      </c>
      <c r="I3" s="29" t="s">
        <v>12</v>
      </c>
      <c r="J3" s="29" t="s">
        <v>13</v>
      </c>
      <c r="K3" s="29" t="s">
        <v>14</v>
      </c>
      <c r="L3" s="29" t="s">
        <v>15</v>
      </c>
    </row>
    <row r="4" spans="1:12" ht="24" customHeight="1" x14ac:dyDescent="0.25">
      <c r="A4" t="s">
        <v>1</v>
      </c>
      <c r="B4" t="s">
        <v>5</v>
      </c>
      <c r="C4" t="s">
        <v>12</v>
      </c>
      <c r="F4" s="32" t="s">
        <v>21</v>
      </c>
      <c r="G4" s="30">
        <v>1</v>
      </c>
      <c r="H4" s="30">
        <v>0.97</v>
      </c>
      <c r="I4" s="30">
        <v>0.95</v>
      </c>
      <c r="J4" s="30">
        <v>0.9</v>
      </c>
      <c r="K4" s="30">
        <v>0.85</v>
      </c>
      <c r="L4" s="30">
        <v>0.75</v>
      </c>
    </row>
    <row r="5" spans="1:12" ht="24" customHeight="1" x14ac:dyDescent="0.25">
      <c r="A5" t="s">
        <v>2</v>
      </c>
      <c r="B5" t="s">
        <v>6</v>
      </c>
      <c r="C5" t="s">
        <v>13</v>
      </c>
      <c r="F5" s="32" t="s">
        <v>0</v>
      </c>
      <c r="G5" s="30">
        <v>1</v>
      </c>
      <c r="H5" s="30">
        <v>0.95</v>
      </c>
      <c r="I5" s="30">
        <v>0.8</v>
      </c>
      <c r="J5" s="30">
        <v>0.6</v>
      </c>
      <c r="K5" s="30">
        <v>0.3</v>
      </c>
      <c r="L5" s="30">
        <v>0.2</v>
      </c>
    </row>
    <row r="6" spans="1:12" ht="24" customHeight="1" x14ac:dyDescent="0.25">
      <c r="B6" t="s">
        <v>7</v>
      </c>
      <c r="C6" t="s">
        <v>14</v>
      </c>
      <c r="F6" s="32" t="s">
        <v>1</v>
      </c>
      <c r="G6" s="30">
        <v>1</v>
      </c>
      <c r="H6" s="30">
        <v>0.95</v>
      </c>
      <c r="I6" s="30">
        <v>0.8</v>
      </c>
      <c r="J6" s="30">
        <v>0.6</v>
      </c>
      <c r="K6" s="30">
        <v>0.2</v>
      </c>
      <c r="L6" s="30">
        <v>0.1</v>
      </c>
    </row>
    <row r="7" spans="1:12" ht="24" customHeight="1" x14ac:dyDescent="0.25">
      <c r="B7" t="s">
        <v>8</v>
      </c>
      <c r="C7" t="s">
        <v>15</v>
      </c>
      <c r="F7" s="32" t="s">
        <v>2</v>
      </c>
      <c r="G7" s="30">
        <v>1</v>
      </c>
      <c r="H7" s="30">
        <v>0.8</v>
      </c>
      <c r="I7" s="30">
        <v>0.45</v>
      </c>
      <c r="J7" s="30">
        <v>0.25</v>
      </c>
      <c r="K7" s="30">
        <v>0.1</v>
      </c>
      <c r="L7" s="30">
        <v>0.05</v>
      </c>
    </row>
    <row r="8" spans="1:12" ht="24" customHeight="1" x14ac:dyDescent="0.25">
      <c r="F8" s="31"/>
      <c r="G8" s="31"/>
      <c r="H8" s="31"/>
      <c r="I8" s="31"/>
      <c r="J8" s="31"/>
      <c r="K8" s="31"/>
      <c r="L8" s="31"/>
    </row>
    <row r="9" spans="1:12" ht="24" customHeight="1" x14ac:dyDescent="0.35">
      <c r="F9" s="31"/>
      <c r="G9" s="33" t="s">
        <v>17</v>
      </c>
      <c r="H9" s="31"/>
      <c r="I9" s="31"/>
      <c r="J9" s="31"/>
      <c r="K9" s="31"/>
      <c r="L9" s="31"/>
    </row>
    <row r="10" spans="1:12" ht="24" customHeight="1" x14ac:dyDescent="0.25">
      <c r="F10" s="31"/>
      <c r="G10" s="66" t="s">
        <v>50</v>
      </c>
      <c r="H10" s="31"/>
      <c r="I10" s="31"/>
      <c r="J10" s="31"/>
      <c r="K10" s="34" t="s">
        <v>42</v>
      </c>
      <c r="L10" s="31"/>
    </row>
    <row r="11" spans="1:12" ht="24" customHeight="1" x14ac:dyDescent="0.25">
      <c r="F11" s="32"/>
      <c r="G11" s="29" t="s">
        <v>10</v>
      </c>
      <c r="H11" s="29" t="s">
        <v>11</v>
      </c>
      <c r="I11" s="29" t="s">
        <v>12</v>
      </c>
      <c r="J11" s="29" t="s">
        <v>13</v>
      </c>
      <c r="K11" s="29" t="s">
        <v>14</v>
      </c>
      <c r="L11" s="29" t="s">
        <v>15</v>
      </c>
    </row>
    <row r="12" spans="1:12" ht="24" customHeight="1" x14ac:dyDescent="0.25">
      <c r="F12" s="32" t="s">
        <v>4</v>
      </c>
      <c r="G12" s="30">
        <v>1</v>
      </c>
      <c r="H12" s="30">
        <v>0.95</v>
      </c>
      <c r="I12" s="30">
        <v>0.8</v>
      </c>
      <c r="J12" s="30">
        <v>0.7</v>
      </c>
      <c r="K12" s="30">
        <v>0.25</v>
      </c>
      <c r="L12" s="30">
        <v>0.2</v>
      </c>
    </row>
    <row r="13" spans="1:12" ht="24" customHeight="1" x14ac:dyDescent="0.25">
      <c r="F13" s="32" t="s">
        <v>3</v>
      </c>
      <c r="G13" s="30">
        <v>1</v>
      </c>
      <c r="H13" s="30">
        <v>1</v>
      </c>
      <c r="I13" s="30">
        <v>1</v>
      </c>
      <c r="J13" s="30">
        <v>1</v>
      </c>
      <c r="K13" s="30">
        <v>1</v>
      </c>
      <c r="L13" s="30">
        <v>1</v>
      </c>
    </row>
    <row r="14" spans="1:12" ht="24" customHeight="1" x14ac:dyDescent="0.25">
      <c r="F14" s="32" t="s">
        <v>5</v>
      </c>
      <c r="G14" s="30">
        <v>1</v>
      </c>
      <c r="H14" s="30">
        <v>0.95</v>
      </c>
      <c r="I14" s="30">
        <v>0.8</v>
      </c>
      <c r="J14" s="30">
        <v>0.35</v>
      </c>
      <c r="K14" s="30">
        <v>0.15</v>
      </c>
      <c r="L14" s="30">
        <v>0.1</v>
      </c>
    </row>
    <row r="15" spans="1:12" ht="24" customHeight="1" x14ac:dyDescent="0.25">
      <c r="F15" s="32" t="s">
        <v>6</v>
      </c>
      <c r="G15" s="30">
        <v>1</v>
      </c>
      <c r="H15" s="30">
        <v>0.95</v>
      </c>
      <c r="I15" s="30">
        <v>0.8</v>
      </c>
      <c r="J15" s="30">
        <v>0.35</v>
      </c>
      <c r="K15" s="30">
        <v>0.1</v>
      </c>
      <c r="L15" s="30">
        <v>0.1</v>
      </c>
    </row>
    <row r="16" spans="1:12" ht="24" customHeight="1" x14ac:dyDescent="0.25">
      <c r="F16" s="32" t="s">
        <v>7</v>
      </c>
      <c r="G16" s="30">
        <v>1</v>
      </c>
      <c r="H16" s="30">
        <v>0.95</v>
      </c>
      <c r="I16" s="30">
        <v>0.8</v>
      </c>
      <c r="J16" s="30">
        <v>0.6</v>
      </c>
      <c r="K16" s="30">
        <v>0.3</v>
      </c>
      <c r="L16" s="30">
        <v>0.2</v>
      </c>
    </row>
    <row r="17" spans="6:12" ht="24" customHeight="1" x14ac:dyDescent="0.25">
      <c r="F17" s="32" t="s">
        <v>8</v>
      </c>
      <c r="G17" s="30">
        <v>1</v>
      </c>
      <c r="H17" s="30">
        <v>1</v>
      </c>
      <c r="I17" s="30">
        <v>1</v>
      </c>
      <c r="J17" s="30">
        <v>1</v>
      </c>
      <c r="K17" s="30">
        <v>1</v>
      </c>
      <c r="L17" s="30">
        <v>1</v>
      </c>
    </row>
    <row r="18" spans="6:12" ht="24" customHeight="1" x14ac:dyDescent="0.25">
      <c r="F18" s="31"/>
      <c r="G18" s="31"/>
      <c r="H18" s="31"/>
      <c r="I18" s="31"/>
      <c r="J18" s="31"/>
      <c r="K18" s="31"/>
      <c r="L18" s="31"/>
    </row>
  </sheetData>
  <pageMargins left="0.25" right="0.25" top="0.75" bottom="0.75" header="0.3" footer="0.3"/>
  <pageSetup scale="74" orientation="landscape" horizontalDpi="4294967295" verticalDpi="4294967295"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0FF5-5F3E-4961-B3A0-4D1408B373F9}">
  <sheetPr>
    <pageSetUpPr fitToPage="1"/>
  </sheetPr>
  <dimension ref="A1:J10"/>
  <sheetViews>
    <sheetView showGridLines="0" zoomScale="115" zoomScaleNormal="115" workbookViewId="0">
      <selection activeCell="F5" sqref="F5"/>
    </sheetView>
  </sheetViews>
  <sheetFormatPr defaultColWidth="9.140625" defaultRowHeight="15" customHeight="1" x14ac:dyDescent="0.25"/>
  <cols>
    <col min="1" max="1" width="30.7109375" style="2" bestFit="1" customWidth="1"/>
    <col min="2" max="2" width="20.85546875" style="2" customWidth="1"/>
    <col min="3" max="3" width="24.28515625" style="2" bestFit="1" customWidth="1"/>
    <col min="4" max="4" width="9.140625" style="2"/>
    <col min="5" max="5" width="40.85546875" style="2" customWidth="1"/>
    <col min="6" max="6" width="23.7109375" style="2" customWidth="1"/>
    <col min="7" max="7" width="57.85546875" style="2" customWidth="1"/>
    <col min="8" max="8" width="9.140625" style="2"/>
    <col min="9" max="9" width="46.28515625" style="2" bestFit="1" customWidth="1"/>
    <col min="10" max="10" width="21.5703125" style="2" bestFit="1" customWidth="1"/>
    <col min="11" max="16384" width="9.140625" style="2"/>
  </cols>
  <sheetData>
    <row r="1" spans="1:10" ht="26.25" x14ac:dyDescent="0.4">
      <c r="A1" s="5" t="s">
        <v>20</v>
      </c>
      <c r="E1" s="5" t="s">
        <v>22</v>
      </c>
      <c r="I1" s="5" t="s">
        <v>41</v>
      </c>
    </row>
    <row r="2" spans="1:10" ht="15" customHeight="1" thickBot="1" x14ac:dyDescent="0.3"/>
    <row r="3" spans="1:10" ht="42" customHeight="1" x14ac:dyDescent="0.25">
      <c r="A3" s="6" t="s">
        <v>24</v>
      </c>
      <c r="B3" s="6" t="s">
        <v>23</v>
      </c>
      <c r="C3" s="6" t="s">
        <v>25</v>
      </c>
      <c r="E3" s="7" t="s">
        <v>26</v>
      </c>
      <c r="F3" s="7" t="s">
        <v>27</v>
      </c>
      <c r="G3" s="7" t="s">
        <v>29</v>
      </c>
      <c r="I3" s="35" t="s">
        <v>34</v>
      </c>
      <c r="J3" s="73">
        <v>1400</v>
      </c>
    </row>
    <row r="4" spans="1:10" ht="34.5" customHeight="1" thickBot="1" x14ac:dyDescent="0.3">
      <c r="A4" s="27" t="s">
        <v>21</v>
      </c>
      <c r="B4" s="67">
        <v>750000</v>
      </c>
      <c r="C4" s="27" t="s">
        <v>21</v>
      </c>
      <c r="E4" s="3" t="s">
        <v>37</v>
      </c>
      <c r="F4" s="69">
        <v>2500000</v>
      </c>
      <c r="G4" s="3" t="s">
        <v>4</v>
      </c>
      <c r="I4" s="36"/>
      <c r="J4" s="74"/>
    </row>
    <row r="5" spans="1:10" ht="34.5" customHeight="1" thickBot="1" x14ac:dyDescent="0.3">
      <c r="A5" s="27" t="s">
        <v>2</v>
      </c>
      <c r="B5" s="67">
        <v>400000</v>
      </c>
      <c r="C5" s="27" t="s">
        <v>2</v>
      </c>
      <c r="E5" s="3" t="s">
        <v>36</v>
      </c>
      <c r="F5" s="69">
        <v>150000</v>
      </c>
      <c r="G5" s="3" t="s">
        <v>3</v>
      </c>
    </row>
    <row r="6" spans="1:10" ht="34.5" customHeight="1" x14ac:dyDescent="0.25">
      <c r="A6" s="27" t="s">
        <v>1</v>
      </c>
      <c r="B6" s="67">
        <v>3850000</v>
      </c>
      <c r="C6" s="27" t="s">
        <v>1</v>
      </c>
      <c r="E6" s="3" t="s">
        <v>28</v>
      </c>
      <c r="F6" s="69">
        <v>1600450</v>
      </c>
      <c r="G6" s="3" t="s">
        <v>8</v>
      </c>
      <c r="I6" s="35" t="s">
        <v>43</v>
      </c>
      <c r="J6" s="75">
        <v>1000</v>
      </c>
    </row>
    <row r="7" spans="1:10" ht="34.5" customHeight="1" x14ac:dyDescent="0.25">
      <c r="A7" s="27" t="s">
        <v>0</v>
      </c>
      <c r="B7" s="68">
        <v>125000</v>
      </c>
      <c r="C7" s="27" t="s">
        <v>0</v>
      </c>
      <c r="E7" s="4" t="s">
        <v>39</v>
      </c>
      <c r="F7" s="69">
        <v>224550</v>
      </c>
      <c r="G7" s="3" t="s">
        <v>7</v>
      </c>
      <c r="I7" s="37"/>
      <c r="J7" s="76"/>
    </row>
    <row r="8" spans="1:10" ht="34.5" customHeight="1" thickBot="1" x14ac:dyDescent="0.3">
      <c r="B8" s="26">
        <f>SUBTOTAL(109,Budget_Revenue[Revenue_Amount])</f>
        <v>5125000</v>
      </c>
      <c r="E8" s="3" t="s">
        <v>38</v>
      </c>
      <c r="F8" s="69">
        <v>400000</v>
      </c>
      <c r="G8" s="3" t="s">
        <v>6</v>
      </c>
      <c r="I8" s="36"/>
      <c r="J8" s="77"/>
    </row>
    <row r="9" spans="1:10" ht="34.5" customHeight="1" x14ac:dyDescent="0.25">
      <c r="E9" s="3" t="s">
        <v>40</v>
      </c>
      <c r="F9" s="69">
        <v>250000</v>
      </c>
      <c r="G9" s="3" t="s">
        <v>5</v>
      </c>
    </row>
    <row r="10" spans="1:10" ht="26.25" customHeight="1" x14ac:dyDescent="0.25">
      <c r="F10" s="26">
        <f>SUBTOTAL(109,Budget_Expenses[Expense_Amount])</f>
        <v>5125000</v>
      </c>
    </row>
  </sheetData>
  <mergeCells count="2">
    <mergeCell ref="J3:J4"/>
    <mergeCell ref="J6:J8"/>
  </mergeCells>
  <pageMargins left="0.25" right="0.25" top="0.75" bottom="0.75" header="0.3" footer="0.3"/>
  <pageSetup scale="47" orientation="landscape" horizontalDpi="4294967295" verticalDpi="4294967295"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449D7D9C-57F6-40CB-B4EB-AB58A5F5B8DD}">
          <x14:formula1>
            <xm:f>'Lists and Calculators'!$A$2:$A$5</xm:f>
          </x14:formula1>
          <xm:sqref>A4 C4:C7 A7</xm:sqref>
        </x14:dataValidation>
        <x14:dataValidation type="list" allowBlank="1" showInputMessage="1" showErrorMessage="1" xr:uid="{252E0370-5B8B-4377-83AD-2967086EE02F}">
          <x14:formula1>
            <xm:f>'Lists and Calculators'!$B$2:$B$7</xm:f>
          </x14:formula1>
          <xm:sqref>G4:G9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99937-7F53-4F80-9AD7-4C019D0A3980}">
  <sheetPr>
    <tabColor rgb="FF00B050"/>
    <pageSetUpPr fitToPage="1"/>
  </sheetPr>
  <dimension ref="A2:P46"/>
  <sheetViews>
    <sheetView showGridLines="0" tabSelected="1" zoomScale="115" zoomScaleNormal="115" workbookViewId="0">
      <selection activeCell="T30" sqref="T30"/>
    </sheetView>
  </sheetViews>
  <sheetFormatPr defaultRowHeight="15" x14ac:dyDescent="0.25"/>
  <cols>
    <col min="2" max="2" width="1.7109375" customWidth="1"/>
    <col min="3" max="3" width="35.7109375" customWidth="1"/>
    <col min="4" max="4" width="12.7109375" customWidth="1"/>
    <col min="5" max="5" width="1.42578125" customWidth="1"/>
    <col min="6" max="6" width="3.85546875" customWidth="1"/>
    <col min="7" max="7" width="1.42578125" customWidth="1"/>
    <col min="8" max="8" width="35.7109375" customWidth="1"/>
    <col min="9" max="9" width="12.7109375" customWidth="1"/>
    <col min="11" max="11" width="17.28515625" customWidth="1"/>
    <col min="12" max="12" width="1.42578125" customWidth="1"/>
    <col min="16" max="16" width="16.28515625" customWidth="1"/>
  </cols>
  <sheetData>
    <row r="2" spans="2:12" ht="14.25" customHeight="1" x14ac:dyDescent="0.25">
      <c r="B2" s="19"/>
      <c r="C2" s="19"/>
      <c r="D2" s="19"/>
      <c r="E2" s="19"/>
      <c r="G2" s="19"/>
      <c r="H2" s="19"/>
      <c r="I2" s="19"/>
      <c r="J2" s="19"/>
      <c r="K2" s="19"/>
      <c r="L2" s="19"/>
    </row>
    <row r="3" spans="2:12" ht="26.25" customHeight="1" x14ac:dyDescent="0.4">
      <c r="B3" s="19"/>
      <c r="C3" s="8" t="s">
        <v>33</v>
      </c>
      <c r="D3" s="9"/>
      <c r="E3" s="19"/>
      <c r="G3" s="19"/>
      <c r="H3" s="24" t="s">
        <v>32</v>
      </c>
      <c r="I3" s="25"/>
      <c r="J3" s="14"/>
      <c r="K3" s="70" t="s">
        <v>10</v>
      </c>
      <c r="L3" s="19"/>
    </row>
    <row r="4" spans="2:12" x14ac:dyDescent="0.25">
      <c r="B4" s="19"/>
      <c r="C4" s="9"/>
      <c r="D4" s="9"/>
      <c r="E4" s="19"/>
      <c r="G4" s="19"/>
      <c r="H4" s="14"/>
      <c r="I4" s="14"/>
      <c r="J4" s="14"/>
      <c r="K4" s="14"/>
      <c r="L4" s="19"/>
    </row>
    <row r="5" spans="2:12" x14ac:dyDescent="0.25">
      <c r="B5" s="19"/>
      <c r="C5" s="10" t="s">
        <v>20</v>
      </c>
      <c r="D5" s="9"/>
      <c r="E5" s="19"/>
      <c r="G5" s="19"/>
      <c r="H5" s="15" t="s">
        <v>20</v>
      </c>
      <c r="I5" s="14"/>
      <c r="J5" s="14"/>
      <c r="K5" s="14"/>
      <c r="L5" s="19"/>
    </row>
    <row r="6" spans="2:12" x14ac:dyDescent="0.25">
      <c r="B6" s="19"/>
      <c r="C6" s="9" t="str">
        <f>'Lists and Calculators'!A2</f>
        <v>ISS Fee (Undergrads)</v>
      </c>
      <c r="D6" s="11">
        <f>SUMIFS(Budget_Revenue[Revenue_Amount],Budget_Revenue[Revenue_Category],"ISS Fee (Undergrads)")</f>
        <v>750000</v>
      </c>
      <c r="E6" s="19"/>
      <c r="G6" s="19"/>
      <c r="H6" s="14" t="str">
        <f>C6</f>
        <v>ISS Fee (Undergrads)</v>
      </c>
      <c r="I6" s="16">
        <f>HLOOKUP($K$3,'Lists and Calculators'!$F$3:$L$7,2,FALSE)*$D6</f>
        <v>750000</v>
      </c>
      <c r="J6" s="14"/>
      <c r="K6" s="14"/>
      <c r="L6" s="19"/>
    </row>
    <row r="7" spans="2:12" x14ac:dyDescent="0.25">
      <c r="B7" s="19"/>
      <c r="C7" s="9" t="str">
        <f>'Lists and Calculators'!A3</f>
        <v>Visa Processing Revenue</v>
      </c>
      <c r="D7" s="11">
        <f>SUMIFS(Budget_Revenue[Revenue_Amount],Budget_Revenue[Revenue_Category],"Visa Processing Revenue")</f>
        <v>125000</v>
      </c>
      <c r="E7" s="19"/>
      <c r="G7" s="19"/>
      <c r="H7" s="14" t="str">
        <f t="shared" ref="H7:H9" si="0">C7</f>
        <v>Visa Processing Revenue</v>
      </c>
      <c r="I7" s="16">
        <f>HLOOKUP($K$3,'Lists and Calculators'!$F$3:$L$7,3,FALSE)*$D7</f>
        <v>125000</v>
      </c>
      <c r="J7" s="14"/>
      <c r="K7" s="81" t="s">
        <v>46</v>
      </c>
      <c r="L7" s="19"/>
    </row>
    <row r="8" spans="2:12" x14ac:dyDescent="0.25">
      <c r="B8" s="19"/>
      <c r="C8" s="9" t="str">
        <f>'Lists and Calculators'!A4</f>
        <v>Study Abroad Revenue</v>
      </c>
      <c r="D8" s="11">
        <f>SUMIFS(Budget_Revenue[Revenue_Amount],Budget_Revenue[Revenue_Category],"Study Abroad Revenue")</f>
        <v>3850000</v>
      </c>
      <c r="E8" s="19"/>
      <c r="G8" s="19"/>
      <c r="H8" s="14" t="str">
        <f t="shared" si="0"/>
        <v>Study Abroad Revenue</v>
      </c>
      <c r="I8" s="16">
        <f>HLOOKUP($K$3,'Lists and Calculators'!$F$3:$L$7,4,FALSE)*$D8</f>
        <v>3850000</v>
      </c>
      <c r="J8" s="14"/>
      <c r="K8" s="14"/>
      <c r="L8" s="19"/>
    </row>
    <row r="9" spans="2:12" x14ac:dyDescent="0.25">
      <c r="B9" s="19"/>
      <c r="C9" s="9" t="str">
        <f>'Lists and Calculators'!A5</f>
        <v>Other Revenue</v>
      </c>
      <c r="D9" s="11">
        <f>SUMIFS(Budget_Revenue[Revenue_Amount],Budget_Revenue[Revenue_Category],"Other Revenue")</f>
        <v>400000</v>
      </c>
      <c r="E9" s="19"/>
      <c r="G9" s="19"/>
      <c r="H9" s="14" t="str">
        <f t="shared" si="0"/>
        <v>Other Revenue</v>
      </c>
      <c r="I9" s="16">
        <f>HLOOKUP($K$3,'Lists and Calculators'!$F$3:$L$7,5,FALSE)*$D9</f>
        <v>400000</v>
      </c>
      <c r="J9" s="14"/>
      <c r="K9" s="14"/>
      <c r="L9" s="19"/>
    </row>
    <row r="10" spans="2:12" x14ac:dyDescent="0.25">
      <c r="B10" s="19"/>
      <c r="C10" s="9"/>
      <c r="D10" s="12">
        <f>SUM(D6:D9)</f>
        <v>5125000</v>
      </c>
      <c r="E10" s="19"/>
      <c r="G10" s="19"/>
      <c r="H10" s="14"/>
      <c r="I10" s="17">
        <f>SUM(I6:I9)</f>
        <v>5125000</v>
      </c>
      <c r="J10" s="14"/>
      <c r="K10" s="14"/>
      <c r="L10" s="19"/>
    </row>
    <row r="11" spans="2:12" x14ac:dyDescent="0.25">
      <c r="B11" s="19"/>
      <c r="C11" s="9"/>
      <c r="D11" s="9"/>
      <c r="E11" s="19"/>
      <c r="G11" s="19"/>
      <c r="H11" s="14"/>
      <c r="I11" s="14"/>
      <c r="J11" s="14"/>
      <c r="K11" s="14"/>
      <c r="L11" s="19"/>
    </row>
    <row r="12" spans="2:12" x14ac:dyDescent="0.25">
      <c r="B12" s="19"/>
      <c r="C12" s="10" t="s">
        <v>30</v>
      </c>
      <c r="D12" s="9"/>
      <c r="E12" s="19"/>
      <c r="G12" s="19"/>
      <c r="H12" s="15" t="s">
        <v>30</v>
      </c>
      <c r="I12" s="14"/>
      <c r="J12" s="14"/>
      <c r="K12" s="14"/>
      <c r="L12" s="19"/>
    </row>
    <row r="13" spans="2:12" x14ac:dyDescent="0.25">
      <c r="B13" s="19"/>
      <c r="C13" s="9" t="str">
        <f>'Lists and Calculators'!B2</f>
        <v>Expenses Directly Related to Revenue</v>
      </c>
      <c r="D13" s="11">
        <f>SUMIFS(Budget_Expenses[Expense_Amount],Budget_Expenses[Expense_Category],"Expenses Directly Related to Revenue")</f>
        <v>2500000</v>
      </c>
      <c r="E13" s="19"/>
      <c r="G13" s="19"/>
      <c r="H13" s="14" t="str">
        <f>C13</f>
        <v>Expenses Directly Related to Revenue</v>
      </c>
      <c r="I13" s="16">
        <f>HLOOKUP($K$3,'Lists and Calculators'!$F$11:$L$17,2,FALSE)*$D13</f>
        <v>2500000</v>
      </c>
      <c r="J13" s="14"/>
      <c r="K13" s="14"/>
      <c r="L13" s="19"/>
    </row>
    <row r="14" spans="2:12" x14ac:dyDescent="0.25">
      <c r="B14" s="19"/>
      <c r="C14" s="9" t="str">
        <f>'Lists and Calculators'!B3</f>
        <v>Fixed Expenses</v>
      </c>
      <c r="D14" s="11">
        <f>SUMIFS(Budget_Expenses[Expense_Amount],Budget_Expenses[Expense_Category],"Fixed Expenses")</f>
        <v>150000</v>
      </c>
      <c r="E14" s="19"/>
      <c r="G14" s="19"/>
      <c r="H14" s="14" t="str">
        <f t="shared" ref="H14:H18" si="1">C14</f>
        <v>Fixed Expenses</v>
      </c>
      <c r="I14" s="16">
        <f>HLOOKUP($K$3,'Lists and Calculators'!$F$11:$L$17,3,FALSE)*$D14</f>
        <v>150000</v>
      </c>
      <c r="J14" s="14"/>
      <c r="K14" s="14"/>
      <c r="L14" s="19"/>
    </row>
    <row r="15" spans="2:12" x14ac:dyDescent="0.25">
      <c r="B15" s="19"/>
      <c r="C15" s="9" t="str">
        <f>'Lists and Calculators'!B4</f>
        <v>Variable Expenses - Payroll</v>
      </c>
      <c r="D15" s="11">
        <f>SUMIFS(Budget_Expenses[Expense_Amount],Budget_Expenses[Expense_Category],"Variable Expenses - Payroll")</f>
        <v>250000</v>
      </c>
      <c r="E15" s="19"/>
      <c r="G15" s="19"/>
      <c r="H15" s="14" t="str">
        <f t="shared" si="1"/>
        <v>Variable Expenses - Payroll</v>
      </c>
      <c r="I15" s="16">
        <f>HLOOKUP($K$3,'Lists and Calculators'!$F$11:$L$17,4,FALSE)*$D15</f>
        <v>250000</v>
      </c>
      <c r="J15" s="14"/>
      <c r="K15" s="14"/>
      <c r="L15" s="19"/>
    </row>
    <row r="16" spans="2:12" x14ac:dyDescent="0.25">
      <c r="B16" s="19"/>
      <c r="C16" s="9" t="str">
        <f>'Lists and Calculators'!B5</f>
        <v>Variable Expenses - Other</v>
      </c>
      <c r="D16" s="11">
        <f>SUMIFS(Budget_Expenses[Expense_Amount],Budget_Expenses[Expense_Category],"Variable Expenses - Other")</f>
        <v>400000</v>
      </c>
      <c r="E16" s="19"/>
      <c r="G16" s="19"/>
      <c r="H16" s="14" t="str">
        <f t="shared" si="1"/>
        <v>Variable Expenses - Other</v>
      </c>
      <c r="I16" s="16">
        <f>HLOOKUP($K$3,'Lists and Calculators'!$F$11:$L$17,5,FALSE)*$D16</f>
        <v>400000</v>
      </c>
      <c r="J16" s="14"/>
      <c r="K16" s="14"/>
      <c r="L16" s="19"/>
    </row>
    <row r="17" spans="2:16" x14ac:dyDescent="0.25">
      <c r="B17" s="19"/>
      <c r="C17" s="9" t="str">
        <f>'Lists and Calculators'!B6</f>
        <v>Overhead</v>
      </c>
      <c r="D17" s="11">
        <f>SUMIFS(Budget_Expenses[Expense_Amount],Budget_Expenses[Expense_Category],"Overhead")</f>
        <v>224550</v>
      </c>
      <c r="E17" s="19"/>
      <c r="G17" s="19"/>
      <c r="H17" s="14" t="str">
        <f t="shared" si="1"/>
        <v>Overhead</v>
      </c>
      <c r="I17" s="16">
        <f>HLOOKUP($K$3,'Lists and Calculators'!$F$11:$L$17,6,FALSE)*$D17</f>
        <v>224550</v>
      </c>
      <c r="J17" s="14"/>
      <c r="K17" s="14"/>
      <c r="L17" s="19"/>
    </row>
    <row r="18" spans="2:16" x14ac:dyDescent="0.25">
      <c r="B18" s="19"/>
      <c r="C18" s="9" t="str">
        <f>'Lists and Calculators'!B7</f>
        <v>Full Time Staff</v>
      </c>
      <c r="D18" s="11">
        <f>SUMIFS(Budget_Expenses[Expense_Amount],Budget_Expenses[Expense_Category],"Full Time Staff")</f>
        <v>1600450</v>
      </c>
      <c r="E18" s="19"/>
      <c r="G18" s="19"/>
      <c r="H18" s="14" t="str">
        <f t="shared" si="1"/>
        <v>Full Time Staff</v>
      </c>
      <c r="I18" s="16">
        <f>HLOOKUP($K$3,'Lists and Calculators'!$F$11:$L$17,7,FALSE)*$D18</f>
        <v>1600450</v>
      </c>
      <c r="J18" s="14" t="s">
        <v>54</v>
      </c>
      <c r="K18" s="14"/>
      <c r="L18" s="19"/>
    </row>
    <row r="19" spans="2:16" x14ac:dyDescent="0.25">
      <c r="B19" s="19"/>
      <c r="C19" s="9"/>
      <c r="D19" s="12">
        <f>SUM(D13:D18)</f>
        <v>5125000</v>
      </c>
      <c r="E19" s="19"/>
      <c r="G19" s="19"/>
      <c r="H19" s="14"/>
      <c r="I19" s="17">
        <f>SUM(I13:I18)</f>
        <v>5125000</v>
      </c>
      <c r="J19" s="14"/>
      <c r="K19" s="14"/>
      <c r="L19" s="19"/>
    </row>
    <row r="20" spans="2:16" x14ac:dyDescent="0.25">
      <c r="B20" s="19"/>
      <c r="C20" s="9"/>
      <c r="D20" s="9"/>
      <c r="E20" s="19"/>
      <c r="G20" s="19"/>
      <c r="H20" s="14"/>
      <c r="I20" s="14"/>
      <c r="J20" s="14"/>
      <c r="K20" s="14"/>
      <c r="L20" s="19"/>
    </row>
    <row r="21" spans="2:16" s="1" customFormat="1" x14ac:dyDescent="0.25">
      <c r="B21" s="20"/>
      <c r="C21" s="21" t="s">
        <v>31</v>
      </c>
      <c r="D21" s="12">
        <f>D10-D19</f>
        <v>0</v>
      </c>
      <c r="E21" s="20"/>
      <c r="G21" s="20"/>
      <c r="H21" s="22" t="s">
        <v>31</v>
      </c>
      <c r="I21" s="17">
        <f>I10-I19</f>
        <v>0</v>
      </c>
      <c r="J21" s="23"/>
      <c r="K21" s="23"/>
      <c r="L21" s="20"/>
    </row>
    <row r="22" spans="2:16" x14ac:dyDescent="0.25">
      <c r="B22" s="19"/>
      <c r="C22" s="10"/>
      <c r="D22" s="13"/>
      <c r="E22" s="19"/>
      <c r="G22" s="19"/>
      <c r="H22" s="15"/>
      <c r="I22" s="18"/>
      <c r="J22" s="14"/>
      <c r="K22" s="14"/>
      <c r="L22" s="19"/>
    </row>
    <row r="23" spans="2:16" ht="7.5" customHeight="1" x14ac:dyDescent="0.25">
      <c r="B23" s="19"/>
      <c r="C23" s="19"/>
      <c r="D23" s="19"/>
      <c r="E23" s="19"/>
      <c r="G23" s="19"/>
      <c r="H23" s="19"/>
      <c r="I23" s="19"/>
      <c r="J23" s="19"/>
      <c r="K23" s="19"/>
      <c r="L23" s="19"/>
    </row>
    <row r="27" spans="2:16" ht="18.75" x14ac:dyDescent="0.25">
      <c r="C27" s="44" t="s">
        <v>48</v>
      </c>
    </row>
    <row r="28" spans="2:16" ht="8.25" customHeight="1" thickBot="1" x14ac:dyDescent="0.3"/>
    <row r="29" spans="2:16" s="2" customFormat="1" ht="54.75" customHeight="1" thickBot="1" x14ac:dyDescent="0.3">
      <c r="C29" s="60" t="s">
        <v>47</v>
      </c>
      <c r="D29" s="61"/>
      <c r="E29" s="62"/>
      <c r="F29"/>
      <c r="G29"/>
      <c r="H29" s="43" t="s">
        <v>35</v>
      </c>
      <c r="I29" s="71">
        <v>1</v>
      </c>
      <c r="J29" s="45" t="s">
        <v>49</v>
      </c>
      <c r="L29" s="38"/>
      <c r="N29" s="42"/>
      <c r="O29" s="42"/>
      <c r="P29" s="42"/>
    </row>
    <row r="30" spans="2:16" ht="58.5" customHeight="1" thickBot="1" x14ac:dyDescent="0.3">
      <c r="C30" s="57">
        <f>'Annual Budget'!J6*'Annual Budget'!J3</f>
        <v>1400000</v>
      </c>
      <c r="D30" s="58"/>
      <c r="E30" s="59"/>
      <c r="H30" s="46" t="s">
        <v>45</v>
      </c>
      <c r="I30" s="63">
        <f>IF(D21=I21,C30,((-I21*I29)+C30+D21))</f>
        <v>1400000</v>
      </c>
      <c r="J30" s="64"/>
      <c r="K30" s="65"/>
      <c r="N30" s="42"/>
      <c r="O30" s="42"/>
      <c r="P30" s="42"/>
    </row>
    <row r="31" spans="2:16" ht="43.5" customHeight="1" x14ac:dyDescent="0.25">
      <c r="E31" s="39"/>
      <c r="F31" s="39"/>
      <c r="G31" s="39"/>
      <c r="H31" s="56" t="s">
        <v>44</v>
      </c>
      <c r="I31" s="56"/>
      <c r="J31" s="56"/>
      <c r="K31" s="56"/>
      <c r="N31" s="42"/>
      <c r="O31" s="42"/>
      <c r="P31" s="42"/>
    </row>
    <row r="32" spans="2:16" ht="8.25" customHeight="1" x14ac:dyDescent="0.5">
      <c r="H32" s="41"/>
    </row>
    <row r="33" spans="1:16" ht="8.25" customHeight="1" x14ac:dyDescent="0.5">
      <c r="H33" s="41"/>
    </row>
    <row r="34" spans="1:16" ht="8.25" customHeight="1" x14ac:dyDescent="0.5">
      <c r="H34" s="41"/>
    </row>
    <row r="35" spans="1:16" ht="8.25" customHeight="1" x14ac:dyDescent="0.5">
      <c r="H35" s="41"/>
    </row>
    <row r="36" spans="1:16" ht="8.25" customHeight="1" thickBot="1" x14ac:dyDescent="0.55000000000000004">
      <c r="H36" s="41"/>
    </row>
    <row r="37" spans="1:16" ht="15" customHeight="1" x14ac:dyDescent="0.25">
      <c r="C37" s="47" t="s">
        <v>55</v>
      </c>
      <c r="D37" s="48"/>
      <c r="E37" s="48"/>
      <c r="F37" s="48"/>
      <c r="G37" s="48"/>
      <c r="H37" s="49"/>
      <c r="I37" s="78">
        <f>((I30-C30)/I18)</f>
        <v>0</v>
      </c>
    </row>
    <row r="38" spans="1:16" ht="8.25" customHeight="1" x14ac:dyDescent="0.25">
      <c r="C38" s="50"/>
      <c r="D38" s="51"/>
      <c r="E38" s="51"/>
      <c r="F38" s="51"/>
      <c r="G38" s="51"/>
      <c r="H38" s="52"/>
      <c r="I38" s="79"/>
    </row>
    <row r="39" spans="1:16" ht="8.25" customHeight="1" x14ac:dyDescent="0.25">
      <c r="C39" s="50"/>
      <c r="D39" s="51"/>
      <c r="E39" s="51"/>
      <c r="F39" s="51"/>
      <c r="G39" s="51"/>
      <c r="H39" s="52"/>
      <c r="I39" s="79"/>
    </row>
    <row r="40" spans="1:16" ht="46.5" customHeight="1" thickBot="1" x14ac:dyDescent="0.3">
      <c r="C40" s="53"/>
      <c r="D40" s="54"/>
      <c r="E40" s="54"/>
      <c r="F40" s="54"/>
      <c r="G40" s="54"/>
      <c r="H40" s="55"/>
      <c r="I40" s="80"/>
      <c r="N40" s="40"/>
      <c r="O40" s="40"/>
      <c r="P40" s="40"/>
    </row>
    <row r="41" spans="1:16" ht="8.25" customHeight="1" x14ac:dyDescent="0.25"/>
    <row r="42" spans="1:16" ht="8.25" customHeight="1" x14ac:dyDescent="0.25"/>
    <row r="43" spans="1:16" ht="8.25" customHeight="1" x14ac:dyDescent="0.25"/>
    <row r="45" spans="1:16" x14ac:dyDescent="0.25">
      <c r="A45" s="72" t="s">
        <v>52</v>
      </c>
    </row>
    <row r="46" spans="1:16" x14ac:dyDescent="0.25">
      <c r="A46" s="72" t="s">
        <v>53</v>
      </c>
    </row>
  </sheetData>
  <mergeCells count="6">
    <mergeCell ref="I37:I40"/>
    <mergeCell ref="C37:H40"/>
    <mergeCell ref="H31:K31"/>
    <mergeCell ref="C30:E30"/>
    <mergeCell ref="C29:E29"/>
    <mergeCell ref="I30:K30"/>
  </mergeCells>
  <pageMargins left="0.25" right="0.25" top="0.75" bottom="0.75" header="0.3" footer="0.3"/>
  <pageSetup scale="63" orientation="portrait"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82C7A7-C997-4DD7-889F-46EFBD63DADB}">
          <x14:formula1>
            <xm:f>'Lists and Calculators'!$C$2:$C$7</xm:f>
          </x14:formula1>
          <xm:sqref>K3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Lists and Calculators</vt:lpstr>
      <vt:lpstr>Annual Budget</vt:lpstr>
      <vt:lpstr>Reserve</vt:lpstr>
      <vt:lpstr>'Lists and Calculators'!Print_Area</vt:lpstr>
      <vt:lpstr>Reserve!Print_Area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Lacey</dc:creator>
  <cp:lastModifiedBy>Heather Lacey</cp:lastModifiedBy>
  <cp:lastPrinted>2025-01-15T16:58:26Z</cp:lastPrinted>
  <dcterms:created xsi:type="dcterms:W3CDTF">2024-10-03T13:13:06Z</dcterms:created>
  <dcterms:modified xsi:type="dcterms:W3CDTF">2025-01-15T18:14:45Z</dcterms:modified>
</cp:coreProperties>
</file>